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 windowWidth="14988" windowHeight="9612" tabRatio="803"/>
  </bookViews>
  <sheets>
    <sheet name="Info" sheetId="20" r:id="rId1"/>
    <sheet name="Ökorichlinien" sheetId="30" state="hidden" r:id="rId2"/>
    <sheet name="Hühnermast" sheetId="1" r:id="rId3"/>
    <sheet name="Grafiken" sheetId="31" r:id="rId4"/>
    <sheet name="Kostenstruktur-kurz" sheetId="33" state="hidden" r:id="rId5"/>
    <sheet name="Mobilstall" sheetId="34" r:id="rId6"/>
    <sheet name="Grafiken Mobilstall" sheetId="36" r:id="rId7"/>
    <sheet name="Mobilstall mit Bodenplatte" sheetId="35" r:id="rId8"/>
    <sheet name="Tabelle2" sheetId="37" r:id="rId9"/>
  </sheets>
  <definedNames>
    <definedName name="_xlnm.Print_Area" localSheetId="3">Grafiken!$B$3:$V$54</definedName>
    <definedName name="_xlnm.Print_Area" localSheetId="2">Hühnermast!$B$2:$K$67</definedName>
    <definedName name="_xlnm.Print_Area" localSheetId="0">Info!$B$2:$H$30</definedName>
    <definedName name="_xlnm.Print_Area" localSheetId="5">Mobilstall!$B$2:$K$74</definedName>
    <definedName name="_xlnm.Print_Area" localSheetId="7">'Mobilstall mit Bodenplatte'!$A$1:$K$74</definedName>
  </definedNames>
  <calcPr calcId="145621"/>
</workbook>
</file>

<file path=xl/calcChain.xml><?xml version="1.0" encoding="utf-8"?>
<calcChain xmlns="http://schemas.openxmlformats.org/spreadsheetml/2006/main">
  <c r="E31" i="35" l="1"/>
  <c r="E31" i="34"/>
  <c r="I61" i="35"/>
  <c r="H61" i="35"/>
  <c r="G61" i="35"/>
  <c r="E61" i="35"/>
  <c r="D61" i="35"/>
  <c r="I57" i="35"/>
  <c r="H57" i="35"/>
  <c r="G57" i="35"/>
  <c r="E56" i="35"/>
  <c r="I48" i="35"/>
  <c r="H48" i="35"/>
  <c r="G48" i="35"/>
  <c r="E41" i="35"/>
  <c r="E40" i="35"/>
  <c r="C40" i="35"/>
  <c r="U39" i="35"/>
  <c r="K39" i="35"/>
  <c r="M36" i="35"/>
  <c r="M34" i="35"/>
  <c r="M33" i="35"/>
  <c r="M32" i="35"/>
  <c r="M31" i="35"/>
  <c r="M30" i="35"/>
  <c r="E30" i="35"/>
  <c r="M29" i="35"/>
  <c r="M28" i="35"/>
  <c r="M27" i="35"/>
  <c r="I23" i="35"/>
  <c r="E20" i="35"/>
  <c r="I45" i="35" s="1"/>
  <c r="I46" i="35" s="1"/>
  <c r="I47" i="35" s="1"/>
  <c r="J16" i="35"/>
  <c r="J15" i="35"/>
  <c r="J14" i="35"/>
  <c r="I24" i="35" s="1"/>
  <c r="F9" i="35"/>
  <c r="J7" i="35"/>
  <c r="I31" i="35" s="1"/>
  <c r="T48" i="35" s="1"/>
  <c r="F7" i="35"/>
  <c r="C41" i="35" s="1"/>
  <c r="AB31" i="34"/>
  <c r="I61" i="34"/>
  <c r="H61" i="34"/>
  <c r="G61" i="34"/>
  <c r="E61" i="34"/>
  <c r="D61" i="34"/>
  <c r="I57" i="34"/>
  <c r="H57" i="34"/>
  <c r="G57" i="34"/>
  <c r="E56" i="34"/>
  <c r="I48" i="34"/>
  <c r="H48" i="34"/>
  <c r="G48" i="34"/>
  <c r="E41" i="34"/>
  <c r="E40" i="34"/>
  <c r="C40" i="34"/>
  <c r="U39" i="34"/>
  <c r="M36" i="34"/>
  <c r="M34" i="34"/>
  <c r="M33" i="34"/>
  <c r="M32" i="34"/>
  <c r="M31" i="34"/>
  <c r="I31" i="34"/>
  <c r="T48" i="34" s="1"/>
  <c r="M30" i="34"/>
  <c r="I30" i="34"/>
  <c r="E30" i="34"/>
  <c r="M29" i="34"/>
  <c r="M28" i="34"/>
  <c r="M27" i="34"/>
  <c r="I23" i="34"/>
  <c r="E20" i="34"/>
  <c r="I45" i="34" s="1"/>
  <c r="I46" i="34" s="1"/>
  <c r="I47" i="34" s="1"/>
  <c r="J16" i="34"/>
  <c r="J15" i="34"/>
  <c r="J14" i="34"/>
  <c r="I24" i="34" s="1"/>
  <c r="F11" i="34"/>
  <c r="F10" i="34"/>
  <c r="F9" i="34"/>
  <c r="J7" i="34"/>
  <c r="I35" i="34" s="1"/>
  <c r="F7" i="34"/>
  <c r="C41" i="34" s="1"/>
  <c r="F10" i="35" l="1"/>
  <c r="M10" i="35" s="1"/>
  <c r="F11" i="35"/>
  <c r="I30" i="35"/>
  <c r="I32" i="35"/>
  <c r="I33" i="35"/>
  <c r="I35" i="35"/>
  <c r="B41" i="35"/>
  <c r="H45" i="35"/>
  <c r="H46" i="35" s="1"/>
  <c r="H47" i="35" s="1"/>
  <c r="T52" i="35"/>
  <c r="M9" i="35"/>
  <c r="E42" i="35" s="1"/>
  <c r="M11" i="35"/>
  <c r="I27" i="35"/>
  <c r="I28" i="35"/>
  <c r="I29" i="35"/>
  <c r="D42" i="35"/>
  <c r="G45" i="35"/>
  <c r="G46" i="35" s="1"/>
  <c r="G47" i="35" s="1"/>
  <c r="H58" i="34"/>
  <c r="I58" i="34"/>
  <c r="G58" i="34"/>
  <c r="I43" i="34"/>
  <c r="B41" i="34"/>
  <c r="H45" i="34"/>
  <c r="H46" i="34" s="1"/>
  <c r="H47" i="34" s="1"/>
  <c r="T52" i="34"/>
  <c r="M9" i="34"/>
  <c r="E42" i="34" s="1"/>
  <c r="M10" i="34"/>
  <c r="H43" i="34" s="1"/>
  <c r="M11" i="34"/>
  <c r="I27" i="34"/>
  <c r="I28" i="34"/>
  <c r="I29" i="34"/>
  <c r="T47" i="34" s="1"/>
  <c r="I32" i="34"/>
  <c r="T49" i="34" s="1"/>
  <c r="I33" i="34"/>
  <c r="D42" i="34"/>
  <c r="G45" i="34"/>
  <c r="G46" i="34" s="1"/>
  <c r="G47" i="34" s="1"/>
  <c r="E30" i="1"/>
  <c r="I24" i="1" s="1"/>
  <c r="I43" i="1" s="1"/>
  <c r="E20" i="1"/>
  <c r="I23" i="1"/>
  <c r="J16" i="1"/>
  <c r="J15" i="1"/>
  <c r="J14" i="1"/>
  <c r="G43" i="1" l="1"/>
  <c r="H43" i="1"/>
  <c r="I43" i="35"/>
  <c r="H43" i="35"/>
  <c r="G43" i="35"/>
  <c r="E32" i="35"/>
  <c r="I49" i="35"/>
  <c r="G49" i="35"/>
  <c r="H49" i="35"/>
  <c r="G50" i="35"/>
  <c r="H50" i="35"/>
  <c r="T45" i="35" s="1"/>
  <c r="T47" i="35"/>
  <c r="T46" i="35"/>
  <c r="H42" i="35"/>
  <c r="H58" i="35"/>
  <c r="I58" i="35"/>
  <c r="G58" i="35"/>
  <c r="T49" i="35"/>
  <c r="J65" i="35"/>
  <c r="J67" i="35" s="1"/>
  <c r="I50" i="35"/>
  <c r="I49" i="34"/>
  <c r="G49" i="34"/>
  <c r="H49" i="34"/>
  <c r="H42" i="34"/>
  <c r="J65" i="34"/>
  <c r="J67" i="34" s="1"/>
  <c r="G50" i="34"/>
  <c r="T46" i="34"/>
  <c r="E32" i="34"/>
  <c r="H50" i="34"/>
  <c r="T45" i="34" s="1"/>
  <c r="G43" i="34"/>
  <c r="I50" i="34"/>
  <c r="J7" i="1"/>
  <c r="U39" i="1"/>
  <c r="H56" i="35" l="1"/>
  <c r="J63" i="35"/>
  <c r="D56" i="35"/>
  <c r="I42" i="35"/>
  <c r="I44" i="35" s="1"/>
  <c r="G42" i="35"/>
  <c r="G44" i="35" s="1"/>
  <c r="H44" i="35"/>
  <c r="T44" i="35"/>
  <c r="I34" i="35"/>
  <c r="I42" i="34"/>
  <c r="I44" i="34" s="1"/>
  <c r="G42" i="34"/>
  <c r="G44" i="34" s="1"/>
  <c r="H44" i="34"/>
  <c r="H56" i="34"/>
  <c r="J63" i="34"/>
  <c r="D56" i="34"/>
  <c r="I34" i="34"/>
  <c r="T44" i="34"/>
  <c r="E56" i="1"/>
  <c r="G57" i="1"/>
  <c r="I57" i="1"/>
  <c r="H57" i="1"/>
  <c r="I61" i="1"/>
  <c r="H61" i="1"/>
  <c r="G61" i="1"/>
  <c r="D61" i="1"/>
  <c r="I56" i="35" l="1"/>
  <c r="G56" i="35"/>
  <c r="T51" i="35"/>
  <c r="T50" i="35"/>
  <c r="I25" i="35"/>
  <c r="T50" i="34"/>
  <c r="I25" i="34"/>
  <c r="I56" i="34"/>
  <c r="G56" i="34"/>
  <c r="T51" i="34"/>
  <c r="L3" i="31"/>
  <c r="I51" i="35" l="1"/>
  <c r="I52" i="35" s="1"/>
  <c r="G51" i="35"/>
  <c r="G52" i="35" s="1"/>
  <c r="H51" i="35"/>
  <c r="H52" i="35" s="1"/>
  <c r="I51" i="34"/>
  <c r="I52" i="34" s="1"/>
  <c r="G51" i="34"/>
  <c r="G52" i="34" s="1"/>
  <c r="H51" i="34"/>
  <c r="H52" i="34" s="1"/>
  <c r="T52" i="1"/>
  <c r="M31" i="1"/>
  <c r="M32" i="1"/>
  <c r="E61" i="1"/>
  <c r="G65" i="35" l="1"/>
  <c r="G53" i="35"/>
  <c r="G54" i="35" s="1"/>
  <c r="H65" i="35"/>
  <c r="H53" i="35"/>
  <c r="H54" i="35" s="1"/>
  <c r="I65" i="35"/>
  <c r="I53" i="35"/>
  <c r="I54" i="35" s="1"/>
  <c r="G65" i="34"/>
  <c r="G53" i="34"/>
  <c r="G54" i="34" s="1"/>
  <c r="H65" i="34"/>
  <c r="H53" i="34"/>
  <c r="H54" i="34" s="1"/>
  <c r="I65" i="34"/>
  <c r="I53" i="34"/>
  <c r="I54" i="34" s="1"/>
  <c r="M34" i="1"/>
  <c r="I63" i="35" l="1"/>
  <c r="I59" i="35"/>
  <c r="I55" i="35"/>
  <c r="H63" i="35"/>
  <c r="H59" i="35"/>
  <c r="H55" i="35"/>
  <c r="G63" i="35"/>
  <c r="G59" i="35"/>
  <c r="G55" i="35"/>
  <c r="I66" i="35"/>
  <c r="I67" i="35"/>
  <c r="H67" i="35"/>
  <c r="H66" i="35"/>
  <c r="G66" i="35"/>
  <c r="G67" i="35"/>
  <c r="I63" i="34"/>
  <c r="I59" i="34"/>
  <c r="I55" i="34"/>
  <c r="H63" i="34"/>
  <c r="H59" i="34"/>
  <c r="H55" i="34"/>
  <c r="G63" i="34"/>
  <c r="G59" i="34"/>
  <c r="G55" i="34"/>
  <c r="I66" i="34"/>
  <c r="I67" i="34"/>
  <c r="H67" i="34"/>
  <c r="H66" i="34"/>
  <c r="G66" i="34"/>
  <c r="G67" i="34"/>
  <c r="D42" i="1"/>
  <c r="G62" i="35" l="1"/>
  <c r="G60" i="35"/>
  <c r="I62" i="35"/>
  <c r="I60" i="35"/>
  <c r="H62" i="35"/>
  <c r="H60" i="35"/>
  <c r="G62" i="34"/>
  <c r="G60" i="34"/>
  <c r="I62" i="34"/>
  <c r="I60" i="34"/>
  <c r="H62" i="34"/>
  <c r="H60" i="34"/>
  <c r="H48" i="1"/>
  <c r="M28" i="1"/>
  <c r="M29" i="1"/>
  <c r="M27" i="1"/>
  <c r="E41" i="1"/>
  <c r="I45" i="1" l="1"/>
  <c r="G45" i="1"/>
  <c r="H45" i="1"/>
  <c r="H46" i="1" s="1"/>
  <c r="H47" i="1" s="1"/>
  <c r="H50" i="1" s="1"/>
  <c r="I32" i="1" l="1"/>
  <c r="F7" i="1"/>
  <c r="C41" i="1" s="1"/>
  <c r="B41" i="1" l="1"/>
  <c r="I27" i="1"/>
  <c r="F9" i="1"/>
  <c r="M9" i="1" s="1"/>
  <c r="F11" i="1"/>
  <c r="M11" i="1" s="1"/>
  <c r="F10" i="1"/>
  <c r="M10" i="1" s="1"/>
  <c r="H3" i="20"/>
  <c r="E42" i="1" l="1"/>
  <c r="H42" i="1"/>
  <c r="E32" i="1"/>
  <c r="T45" i="1"/>
  <c r="H49" i="1"/>
  <c r="T44" i="1" s="1"/>
  <c r="J65" i="1"/>
  <c r="J67" i="1" s="1"/>
  <c r="I49" i="1"/>
  <c r="G49" i="1"/>
  <c r="H44" i="1" l="1"/>
  <c r="H56" i="1"/>
  <c r="G56" i="1" s="1"/>
  <c r="J63" i="1"/>
  <c r="D56" i="1"/>
  <c r="C40" i="1"/>
  <c r="I56" i="1" l="1"/>
  <c r="T51" i="1"/>
  <c r="E40" i="1"/>
  <c r="G48" i="1" l="1"/>
  <c r="M30" i="1"/>
  <c r="M33" i="1"/>
  <c r="M36" i="1"/>
  <c r="I35" i="1" s="1"/>
  <c r="H58" i="1" s="1"/>
  <c r="G46" i="1" l="1"/>
  <c r="G47" i="1" s="1"/>
  <c r="G50" i="1" s="1"/>
  <c r="I33" i="1"/>
  <c r="T49" i="1" s="1"/>
  <c r="I30" i="1"/>
  <c r="I48" i="1"/>
  <c r="I46" i="1" s="1"/>
  <c r="I47" i="1" s="1"/>
  <c r="I50" i="1" s="1"/>
  <c r="I28" i="1" l="1"/>
  <c r="T46" i="1" s="1"/>
  <c r="I29" i="1"/>
  <c r="T47" i="1" s="1"/>
  <c r="I31" i="1"/>
  <c r="T48" i="1" s="1"/>
  <c r="I34" i="1" l="1"/>
  <c r="I58" i="1"/>
  <c r="G58" i="1"/>
  <c r="I25" i="1" l="1"/>
  <c r="T50" i="1"/>
  <c r="G42" i="1"/>
  <c r="G44" i="1" s="1"/>
  <c r="I42" i="1"/>
  <c r="I44" i="1" s="1"/>
  <c r="I51" i="1" l="1"/>
  <c r="I52" i="1" s="1"/>
  <c r="I65" i="1" s="1"/>
  <c r="I67" i="1" s="1"/>
  <c r="G51" i="1" l="1"/>
  <c r="G52" i="1" s="1"/>
  <c r="G65" i="1" s="1"/>
  <c r="G67" i="1" s="1"/>
  <c r="H51" i="1"/>
  <c r="H52" i="1" s="1"/>
  <c r="H65" i="1" l="1"/>
  <c r="H67" i="1" s="1"/>
  <c r="H53" i="1"/>
  <c r="G53" i="1"/>
  <c r="I53" i="1"/>
  <c r="H66" i="1" l="1"/>
  <c r="H54" i="1"/>
  <c r="I54" i="1"/>
  <c r="I66" i="1"/>
  <c r="G66" i="1"/>
  <c r="G54" i="1"/>
  <c r="I63" i="1" l="1"/>
  <c r="I59" i="1"/>
  <c r="I60" i="1" s="1"/>
  <c r="G63" i="1"/>
  <c r="G59" i="1"/>
  <c r="H59" i="1"/>
  <c r="H63" i="1"/>
  <c r="H55" i="1"/>
  <c r="G55" i="1"/>
  <c r="I55" i="1"/>
  <c r="H62" i="1" l="1"/>
  <c r="H60" i="1"/>
  <c r="G62" i="1"/>
  <c r="G60" i="1"/>
  <c r="I62" i="1"/>
</calcChain>
</file>

<file path=xl/sharedStrings.xml><?xml version="1.0" encoding="utf-8"?>
<sst xmlns="http://schemas.openxmlformats.org/spreadsheetml/2006/main" count="682" uniqueCount="209">
  <si>
    <t>Faktor Mwst.</t>
  </si>
  <si>
    <t>%</t>
  </si>
  <si>
    <t xml:space="preserve">Lohnansatz / Std. </t>
  </si>
  <si>
    <t>kg</t>
  </si>
  <si>
    <t>davon</t>
  </si>
  <si>
    <t>Jahre</t>
  </si>
  <si>
    <t>Düngerwert</t>
  </si>
  <si>
    <t>Summe variable Kosten</t>
  </si>
  <si>
    <t>Tägliche Zunahmen</t>
  </si>
  <si>
    <t>Leertage je Umtrieb</t>
  </si>
  <si>
    <t>Tage</t>
  </si>
  <si>
    <t>Umtriebe / Platz</t>
  </si>
  <si>
    <t>€/dt</t>
  </si>
  <si>
    <t>€</t>
  </si>
  <si>
    <t>Kapitalverzinsung</t>
  </si>
  <si>
    <t xml:space="preserve">Deckungsbeitrag  </t>
  </si>
  <si>
    <t>je Std.</t>
  </si>
  <si>
    <t>DB in % von Fest-, Gemein- u. Arbeitskosten</t>
  </si>
  <si>
    <t xml:space="preserve">Datum: </t>
  </si>
  <si>
    <t>Beispiel</t>
  </si>
  <si>
    <t>Stall</t>
  </si>
  <si>
    <t>Arbeit</t>
  </si>
  <si>
    <t>Zuschuss bei Investitionsförderung</t>
  </si>
  <si>
    <t>Mwst. Regelsatz</t>
  </si>
  <si>
    <t xml:space="preserve">nein </t>
  </si>
  <si>
    <t xml:space="preserve">ja </t>
  </si>
  <si>
    <t xml:space="preserve">Name: </t>
  </si>
  <si>
    <t xml:space="preserve">  Preise : </t>
  </si>
  <si>
    <t xml:space="preserve">Pauschalierung </t>
  </si>
  <si>
    <t xml:space="preserve">Regelbesteuerung </t>
  </si>
  <si>
    <t>x</t>
  </si>
  <si>
    <t>Zinssatz für gebundenes Gebäudekapital ( i )</t>
  </si>
  <si>
    <t xml:space="preserve">                            Berücksichtigung einer Investitionsförderung ?   </t>
  </si>
  <si>
    <t>N</t>
  </si>
  <si>
    <t>Nährstoffpreise</t>
  </si>
  <si>
    <t>Kosten (inkl. Mwst.):</t>
  </si>
  <si>
    <t>Inhaltsverzeichnis</t>
  </si>
  <si>
    <t>Zum Programm</t>
  </si>
  <si>
    <t>gelbe Felder sind Eingabefelder !</t>
  </si>
  <si>
    <t xml:space="preserve">       Bezügl. der Mwst. soll gerechnet werden:</t>
  </si>
  <si>
    <t>Grundlagen der ökologischen Schweinehaltung</t>
  </si>
  <si>
    <t>Haltung</t>
  </si>
  <si>
    <t>Nach den EU-Rechtsvorschriften für den ökologischen Landbau ist für Ferkel eine Mindestsäugezeit von 40 Tagen vorgeschrieben. Dies führt im Vergleich zur konventionellen Haltung zu einer höheren Anzahl (35 bis 40 Prozent der produktiven Sauen) notwendiger Abferkelbuchten gegenüber der konventionell üblichen Säugezeit von 21 bis 28 Tagen. Um diese zusätzlichen Kosten zu reduzieren, wird häufig das Gruppensäugeverfahren angewendet. Nach zehn bis 14 Tagen werden mehrere Sauen mit ihren Ferkeln in einer Gruppe zusammengefasst. Die Ferkel erhalten eine nur für sie zugängliche Ferkelbucht. </t>
  </si>
  <si>
    <t>Fütterung</t>
  </si>
  <si>
    <t>Das Futter muss aus ökologischer Erzeugung stammen. Ein Zukauf konventioneller, gentechnikfreier Eiweißfutterkomponenten entsprechend der EU-Rechtsvorschriften für den ökologischen Landbau ist bis zum 31.12.2017 erlaubt. Diese Komponenten dürfen mit einem Anteil von maximal 5 Prozent beigemischt werden.  </t>
  </si>
  <si>
    <t>Tierzukauf</t>
  </si>
  <si>
    <t>Seit dem 25. August 2003 müssen ökologische Mastschweine vor der Inverkehrbringung über einen Zeitraum von mindestens 180 Tagen (sechs Monate) ökologisch gehalten und gefüttert werden, so dass in der Praxis nur noch Ferkel von ökologischen Sauenhaltern für die Mast in Frage kommen. Da eine Versorgung mit Ökoferkeln nicht immer vollständig gewährleistet ist, muss sich der Mäster frühzeitig um geeignete Ferkel bemühen bzw. langfristige Lieferbeziehungen aufbauen. </t>
  </si>
  <si>
    <t>Der Zukauf konventioneller, weiblicher Jungtiere zur Zucht (zum Beispiel Jungsauen, Zuchtläufer) ist erlaubt, sofern die Tiere nach dem Absetzen gemäß den Vorschriften der Verordnung gehalten werden. Der alljährliche Anteil zugekaufter, weiblicher Zuchttiere darf 20 Prozent des Sauenbestandes nicht überschreiten. Bei Rassenumstellung, Bestandsvergrößerung und Bestandserneuerung können nach Genehmigung der Kontrollstelle die Prozentsätze bis auf 40 Prozent angehoben werden. Ein Zukauf konventioneller Zuchteber ist erlaubt, da bei Zuchtschweinen das Angebot an ökologisch erzeugten Tieren noch gering ist.</t>
  </si>
  <si>
    <t>Tiergesundheit</t>
  </si>
  <si>
    <t>Ein präventiver Einsatz chemisch-synthetischer (allopathischer) Arzneimittel (zum Beispiel Antibiotika) ist nicht erlaubt. Fütterungsantibiotika sowie Leistungs- und Wachstumsförderer dürfen nicht eingesetzt werden. Der Einsatz von Antiparasitika und von Impfstoffen ist erlaubt</t>
  </si>
  <si>
    <t>Die Reinigung und Desinfektion ist nur mit den laut EU-Rechtsvorschriften für den ökologischen Landbau zugelassenen Mitteln erlaubt.</t>
  </si>
  <si>
    <t>Maximal 50 Prozent der Bodenfläche dürfen mit Spaltenboden versehen sein. Eine trockene, eingestreute Liegefläche muß vorhanden sein. Leere und niedertragende Sauen sind in Gruppen zu halten. Die Haltung von Ferkeln in Ferkelkäfigen oder Flatdecks sowie das systematische Abkneifen der Zähne und Kupieren der Schwänze sind nicht zulässig.</t>
  </si>
  <si>
    <t>Prämien FAKT und Initiative Tierwohl</t>
  </si>
  <si>
    <t>Quelle: Text-www.oekolandbau.de/erzeuger/umstellung/oeko-was-ist-anders/schweinehaltung/  (Aufruf 18.1.2016)</t>
  </si>
  <si>
    <t xml:space="preserve">    Tierarzt, Medikamente</t>
  </si>
  <si>
    <t xml:space="preserve">    Verluste, Versicherungen</t>
  </si>
  <si>
    <t xml:space="preserve">    Energie, Wasser</t>
  </si>
  <si>
    <t xml:space="preserve">    Beratung, Kontrolle</t>
  </si>
  <si>
    <r>
      <t xml:space="preserve">In der </t>
    </r>
    <r>
      <rPr>
        <b/>
        <sz val="16"/>
        <rFont val="Arial"/>
        <family val="2"/>
      </rPr>
      <t>Berechnung</t>
    </r>
    <r>
      <rPr>
        <sz val="16"/>
        <rFont val="Arial"/>
        <family val="2"/>
      </rPr>
      <t xml:space="preserve"> können in allen gelben Feldern Grundannahmen individuell angepasst werden. Das sind u.a.</t>
    </r>
  </si>
  <si>
    <t xml:space="preserve"> - Gewinn je AKh: entspricht dem erzielten Stundenlohn (DB abzgl. Fest- und Gemeinkosten, div. durch AKh) </t>
  </si>
  <si>
    <r>
      <t xml:space="preserve">               </t>
    </r>
    <r>
      <rPr>
        <b/>
        <sz val="22"/>
        <rFont val="Arial"/>
        <family val="2"/>
      </rPr>
      <t>VOKO ÖKO-SAU   Richtlinien</t>
    </r>
  </si>
  <si>
    <t>Tabelle 1: Mindeststall- und Mindestfreiflächen (m²/Tier) für Schweine-Anhang III VO (EG)889/2008</t>
  </si>
  <si>
    <t>nachhaltige Preise</t>
  </si>
  <si>
    <t xml:space="preserve">(netto in </t>
  </si>
  <si>
    <t>€/kg Reinnährstoff)</t>
  </si>
  <si>
    <t xml:space="preserve">                                   Futterverwertung       1:                                             </t>
  </si>
  <si>
    <t>Zinsansatz Umlaufvermögen</t>
  </si>
  <si>
    <t xml:space="preserve">    var. Masch.kost. inkl. Mistausbr.</t>
  </si>
  <si>
    <t>(nach Stall-, Lager-, Ausbringverlusten)</t>
  </si>
  <si>
    <t>Sonstige variable Kosten (inkl. Zinsansatz)</t>
  </si>
  <si>
    <t>Mastfutter (o. Mwst.)</t>
  </si>
  <si>
    <t>Mwst.satz landwirtschaftliche Erzeugnisse</t>
  </si>
  <si>
    <t xml:space="preserve"> -zur Deckung der Vollkosten (langfristige Prod.schwelle) ohne Prämie</t>
  </si>
  <si>
    <t xml:space="preserve"> -zur Deckung der Vollkosten (langfristige Prod.schwelle) mit Prämie</t>
  </si>
  <si>
    <t xml:space="preserve"> -zur Deckung der variablen Kosten (kurzfristige Prod.schwelle)</t>
  </si>
  <si>
    <t xml:space="preserve"> - Kalkulatorisches Betriebszweigergebnis (=Unternehmergewinn): DB abzgl. Festkosten und Lohnansatz </t>
  </si>
  <si>
    <t xml:space="preserve"> - mit Pauschalierung der Umsatzsteuer oder Regelbesteuerung</t>
  </si>
  <si>
    <t xml:space="preserve"> - mit oder ohne Investitionsförderung</t>
  </si>
  <si>
    <t xml:space="preserve"> - Nährstoffwerte und Gehalte</t>
  </si>
  <si>
    <r>
      <t>Nährstoffpreise nach LEL Kalkulationsdaten öko. Marktfrüchte--</t>
    </r>
    <r>
      <rPr>
        <b/>
        <sz val="10"/>
        <rFont val="Arial"/>
        <family val="2"/>
      </rPr>
      <t>-konventionelle Ansätze:1,00//0,80//0,60 !!!</t>
    </r>
  </si>
  <si>
    <r>
      <t xml:space="preserve">Grundeinstellung </t>
    </r>
    <r>
      <rPr>
        <b/>
        <sz val="14"/>
        <rFont val="Arial"/>
        <family val="2"/>
      </rPr>
      <t>ohne</t>
    </r>
    <r>
      <rPr>
        <sz val="14"/>
        <rFont val="Arial"/>
        <family val="2"/>
      </rPr>
      <t xml:space="preserve"> Investitionsförderung und/oder FAKT</t>
    </r>
  </si>
  <si>
    <t>Gelbe Felder können indiv. angepasst werden</t>
  </si>
  <si>
    <t>Hier geht es per Mausklick zu Berechnung</t>
  </si>
  <si>
    <t xml:space="preserve">Vers. 01/2017
</t>
  </si>
  <si>
    <r>
      <rPr>
        <b/>
        <sz val="36"/>
        <rFont val="Arial"/>
        <family val="2"/>
      </rPr>
      <t xml:space="preserve">VOKO ÖKO- Geflügelmast   </t>
    </r>
    <r>
      <rPr>
        <sz val="28"/>
        <rFont val="Arial"/>
        <family val="2"/>
      </rPr>
      <t xml:space="preserve">                                             </t>
    </r>
    <r>
      <rPr>
        <sz val="20"/>
        <rFont val="Arial"/>
        <family val="2"/>
      </rPr>
      <t xml:space="preserve">    (Vollkosten der ökologischen Geflügelmast)</t>
    </r>
  </si>
  <si>
    <r>
      <t xml:space="preserve">               </t>
    </r>
    <r>
      <rPr>
        <b/>
        <sz val="22"/>
        <rFont val="Arial"/>
        <family val="2"/>
      </rPr>
      <t>VOKO ÖKO-Masthühner</t>
    </r>
  </si>
  <si>
    <t>g/Tier</t>
  </si>
  <si>
    <t>Wirtschaftsdüngeranfall/ Eh. und Durchgang</t>
  </si>
  <si>
    <t>Zuwachs je 100 Masthühner</t>
  </si>
  <si>
    <t>Verluste in %</t>
  </si>
  <si>
    <t>Einstallungsgewicht je 100 Masthühner</t>
  </si>
  <si>
    <t>Arbeitseinkommen</t>
  </si>
  <si>
    <t xml:space="preserve">je 100  Tiere und DG  </t>
  </si>
  <si>
    <t xml:space="preserve">je 100 Plätze  und Jahr </t>
  </si>
  <si>
    <t>Lebendgewicht / 100 Masthühner</t>
  </si>
  <si>
    <t>Kosten je 100 Masthühnernküken</t>
  </si>
  <si>
    <t>Pachtansatz Auslauffläche</t>
  </si>
  <si>
    <t>€/ha</t>
  </si>
  <si>
    <t>qm</t>
  </si>
  <si>
    <t>Festkosten Stall und Auslauf je Jahr</t>
  </si>
  <si>
    <t>Gemeinkosten / 100 Plätze und Jahr</t>
  </si>
  <si>
    <t>der Futtermenge</t>
  </si>
  <si>
    <t>Futterkosten/Einh. (Alleinfutter, Getreide, Kükenstarter, Raufutter)</t>
  </si>
  <si>
    <t>Lohnansatz / 100 Mastplätze und Jahr</t>
  </si>
  <si>
    <t>bezogen auf einen Durchgang</t>
  </si>
  <si>
    <t>bezogen auf ein Jahr</t>
  </si>
  <si>
    <t xml:space="preserve">    Vermarktungskosten</t>
  </si>
  <si>
    <t>Erlös nach Tierverlusten, ggf inkl. FAKT</t>
  </si>
  <si>
    <t>bei diesem Preis ist das kalkulatorische Betriebszweigergebniss =0</t>
  </si>
  <si>
    <t>bei diesem Preis ist der Deckungsbeitrag =0</t>
  </si>
  <si>
    <r>
      <t>Erforderlicher Basispreis je kg LG (netto)</t>
    </r>
    <r>
      <rPr>
        <b/>
        <sz val="14"/>
        <color indexed="10"/>
        <rFont val="Arial"/>
        <family val="2"/>
      </rPr>
      <t xml:space="preserve"> </t>
    </r>
  </si>
  <si>
    <t>Hühnermast</t>
  </si>
  <si>
    <t>Grafiken Hühnermast</t>
  </si>
  <si>
    <t xml:space="preserve"> - Erforderliche Preise je kg LG</t>
  </si>
  <si>
    <t xml:space="preserve"> - variable und feste Kosten, Arbeitszeit,Stallkosten</t>
  </si>
  <si>
    <r>
      <t xml:space="preserve">Sie stellen die </t>
    </r>
    <r>
      <rPr>
        <b/>
        <sz val="16"/>
        <rFont val="Arial"/>
        <family val="2"/>
      </rPr>
      <t>wichtigsten ökonomischen Kriterien</t>
    </r>
    <r>
      <rPr>
        <sz val="16"/>
        <rFont val="Arial"/>
        <family val="2"/>
      </rPr>
      <t xml:space="preserve"> dar:</t>
    </r>
  </si>
  <si>
    <r>
      <t>Ergebnistabelle Hühnermast</t>
    </r>
    <r>
      <rPr>
        <b/>
        <sz val="12"/>
        <color indexed="8"/>
        <rFont val="Arial"/>
        <family val="2"/>
      </rPr>
      <t xml:space="preserve"> </t>
    </r>
  </si>
  <si>
    <r>
      <t>Berechnungsgrundlage Hühnermast</t>
    </r>
    <r>
      <rPr>
        <b/>
        <sz val="12"/>
        <color indexed="8"/>
        <rFont val="Arial"/>
        <family val="2"/>
      </rPr>
      <t xml:space="preserve"> (bezogen auf einen Durchgang mit  100 Masthühner = eine Einheit)</t>
    </r>
  </si>
  <si>
    <t>Nährstoffgehalt und Menge nach NÄBI mit Stroh(3kg je GV und Tag) je 100 Plätze und Jahr, Menge=</t>
  </si>
  <si>
    <t>t je Jahr bei den oben angegebenen Nährstoffgehalten</t>
  </si>
  <si>
    <t>Sonstige variable  Kosten inkl. Zinsansatz</t>
  </si>
  <si>
    <t>Lebendgewicht ohne Tierverluste</t>
  </si>
  <si>
    <t xml:space="preserve">Getreidekörner (o. MwSt.) </t>
  </si>
  <si>
    <t>Futterverbrauch je 100 Masthühner (abhängig von den tägl. Zunahmen)</t>
  </si>
  <si>
    <t xml:space="preserve">Kükenstarter (o. MwSt.) </t>
  </si>
  <si>
    <t xml:space="preserve">je 100 Tiere und DG </t>
  </si>
  <si>
    <t>Neubaukosten je 100 Mastplätze (netto)</t>
  </si>
  <si>
    <t>maßgebl. Neubaukosten je 100 Plätze</t>
  </si>
  <si>
    <t>Abschreibungsdauer Stall und Einrichtung</t>
  </si>
  <si>
    <t>Unterhaltungskosten jährlich</t>
  </si>
  <si>
    <t>je 100 Plätze und Jahr</t>
  </si>
  <si>
    <t>Kalkulatorisches Betriebszweigergebnis</t>
  </si>
  <si>
    <t>Quellen:</t>
  </si>
  <si>
    <t>Kostenstruktur Hühnermast für Grafik</t>
  </si>
  <si>
    <t>Küken</t>
  </si>
  <si>
    <t>Futterkosten</t>
  </si>
  <si>
    <t>Gesundheit, Versicherung</t>
  </si>
  <si>
    <t>Maschinen</t>
  </si>
  <si>
    <t>Sonstiges</t>
  </si>
  <si>
    <t>(zinsansatz und Gemeinkosten)</t>
  </si>
  <si>
    <t>Vermarktung, Beratung, Kontrolle</t>
  </si>
  <si>
    <t>Pachtansatz Grünauslauf je 100 Hühner und Jahr</t>
  </si>
  <si>
    <t>bei diesem Zinsansatz ist das kalk. Betriebszweigergebniss = 0</t>
  </si>
  <si>
    <t>AKh je 100 Plätze und Jahr</t>
  </si>
  <si>
    <t>Auslauffläche in qm je 100 Hühner</t>
  </si>
  <si>
    <t>Tierarzt KTBL 16/17 S. 690 0,10/ Tier</t>
  </si>
  <si>
    <t>Leertage zur Reingung, Desinfektion etc. KTBL 16/17 S. 686: 7-21 Tage // Energie und Wasser nach KTBL WKR 01/2017 Wasser 0,09, Strom 0,08, Gas 0,08 €/TP a</t>
  </si>
  <si>
    <t xml:space="preserve">    Einstreu, Reinigung, Auslauf</t>
  </si>
  <si>
    <t>Beratung: Tölle, Spezialberatung 0,22 € TP und Jahr zusätzliche Kosten für Beratung</t>
  </si>
  <si>
    <t>Vermarktungskosten eigene Annahmen, bei Direktvermarktung wesentlich mehr</t>
  </si>
  <si>
    <t>Ergebnis:</t>
  </si>
  <si>
    <t xml:space="preserve">Prämien: mögliche Prämien bei FAKT  G 3.2.Premiumstufe 50 €/ 100 erzeugte Tiere </t>
  </si>
  <si>
    <t>Mwst.satz Zukauffutter, Jungtiere</t>
  </si>
  <si>
    <t xml:space="preserve"> - Lebendgewicht und Preis in € je kg LG</t>
  </si>
  <si>
    <t xml:space="preserve">Abgebildet werden die Kalkulationen zur ökologischen Hühnermast. </t>
  </si>
  <si>
    <t xml:space="preserve"> - Deckungsbeitrag je 100 Tieren und Durchgang: davon sind die Festkosten für Stall und Auslauf, Gemeinkosten und Arbeitskosten abzudecken</t>
  </si>
  <si>
    <t>Grafiken zu den Ergebnissen (DB, Kostenstruktur, Akh-Verwertung)</t>
  </si>
  <si>
    <t>Abkürzungen:</t>
  </si>
  <si>
    <t>Mwst.=Mehrwertsteuer</t>
  </si>
  <si>
    <t>TP.= ein Tierplatz bezogen auf ein Jahr</t>
  </si>
  <si>
    <t>DG.= ein Durchgang dessen Dauer beinflußt die Anzahl der Umtriebe je Jahr</t>
  </si>
  <si>
    <t>Eh.= eine Einheit in diesem Fall 100 Masthühner und ein Durchgang</t>
  </si>
  <si>
    <t>LG.= Lebendgewicht</t>
  </si>
  <si>
    <t>Nährstoffgehalt Wirtschaftsdünger</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</si>
  <si>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</si>
  <si>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</si>
  <si>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Wertansätze für Wirtschaftsdünger</t>
  </si>
  <si>
    <t>€/kg</t>
  </si>
  <si>
    <r>
      <rPr>
        <b/>
        <sz val="10"/>
        <rFont val="Arial"/>
        <family val="2"/>
      </rPr>
      <t>Zuschuss</t>
    </r>
    <r>
      <rPr>
        <sz val="10"/>
        <rFont val="Arial"/>
        <family val="2"/>
      </rPr>
      <t>: Max 40 % (AFP Premiumförderung für tiergerechtes Bauen)</t>
    </r>
  </si>
  <si>
    <t>kg/E.</t>
  </si>
  <si>
    <t>€/E.</t>
  </si>
  <si>
    <t>t/E.</t>
  </si>
  <si>
    <t>€/100 TP</t>
  </si>
  <si>
    <t>h/100 TP</t>
  </si>
  <si>
    <t>Eintagsküken, geimpft, (o. Mwst.)</t>
  </si>
  <si>
    <t>Einstallungsgewicht je Einheit</t>
  </si>
  <si>
    <t xml:space="preserve">Gemeinkosten </t>
  </si>
  <si>
    <t>Raufutter in € je 100 Tiere und DG (o. MwSt.)</t>
  </si>
  <si>
    <t xml:space="preserve">Leistung insg. / 100 Tiere und Durchgang (inkl. Düngerwert)  </t>
  </si>
  <si>
    <r>
      <t>Die</t>
    </r>
    <r>
      <rPr>
        <b/>
        <sz val="16"/>
        <rFont val="Arial"/>
        <family val="2"/>
      </rPr>
      <t xml:space="preserve"> Ergebnistabellen</t>
    </r>
    <r>
      <rPr>
        <sz val="16"/>
        <rFont val="Arial"/>
        <family val="2"/>
      </rPr>
      <t xml:space="preserve"> bilden</t>
    </r>
    <r>
      <rPr>
        <b/>
        <sz val="16"/>
        <rFont val="Arial"/>
        <family val="2"/>
      </rPr>
      <t xml:space="preserve"> drei Niveaus</t>
    </r>
    <r>
      <rPr>
        <sz val="16"/>
        <rFont val="Arial"/>
        <family val="2"/>
      </rPr>
      <t xml:space="preserve"> ab. Diese unterschieden sich hinsichtlich der Futterverwertung und den damit verbundenen Kosten.</t>
    </r>
  </si>
  <si>
    <t>Berechnung und Ergebnistabelle für die Hühnermast</t>
  </si>
  <si>
    <t>Energie, Wasser,</t>
  </si>
  <si>
    <t>Basispreis / kg Schlachtgewicht (o. Mwst.)</t>
  </si>
  <si>
    <t>Auslauffläche nach Öko Vo mind 4 qm pro Tier // 20 AKH je 100 Plätze nach  KTBL WKR Tier bei 2250 Plätzen gesamt- kann abhängig von Gebäude, Technik und Anzahl der TP stark schwanken z.B. Mobilstall bis zu 50 Akh je 100 TP und Jahr (KTBL WKR Tier), Geschlossener Stall mit 9600 Pl 11 AKh je 100 TP und Jahr ( top agrar 5/2012), Erzeugerauskunft 10.3.2017 Bestandsgröße hat geringen Einfluss auf Arbeitszeit wichtig sind Mechanisierungsgrad und persönliches Engangement- häufige Stallbesuche können die Tierarztkosten z.B. erheblich verringern</t>
  </si>
  <si>
    <t>Tgl. zunahmen: KTBL 16/17 S. 686 Öko 38 g, S. 687 Zweinutzungshühner 31 g ///Verluste Versicherung nach KTBL 16/17 S.690 0,13 € TP /a, nach erzeuger auskunft niedriger 12-14 Wochenmastdauer für 1,5-2 kg  LG</t>
  </si>
  <si>
    <t>Futterweizen: AMI Abruf 16.1. Preise Mittel Aktuell ( von 12/2016) 36 € dazu Zuschlag für BW/Verbandsware von 2 € einkalkuliert, vorgeschireben sind mindestens 10 % erzeugerauskunft vom 17.2 2reines Müslifütterung ohne Pellets mit futterverwertung von 1:4</t>
  </si>
  <si>
    <t>Pachtansatz nach Kalkulationsdaten Marktfrüchten LEL 2017 abgeleitet aus den Buchführungsergebinssen// Gemeinkosten analog zu den Gemeinkosten Legehennenhaltung zusätzlich 20 % da zumeist mit kleineren Beständen kalkuliert wird</t>
  </si>
  <si>
    <t>Erstellt 07/2018</t>
  </si>
  <si>
    <t>rechnerisch bezogen auf 100 Mastplätze. 4 Durchgänge p.a.</t>
  </si>
  <si>
    <t>Düngerwert je 100 erzeugte Tiere (o. Mwst.)</t>
  </si>
  <si>
    <t>Nährstoffgehalte gerundet nach DÜV und KTBL nach Lager und Ausbringungsverlusten je Platz und Jahr bezogen auf 4 Umtriebe im Jahr</t>
  </si>
  <si>
    <t>Schlachtalter, Tage</t>
  </si>
  <si>
    <t>Lebendgewicht: Errechnet sich aus Schlachtalter x tägl. Zunahme, KTBL 16/17 2,1-3 kg  Lebendgewicht je Masthuhn// Einstallungsgewicht ein bis dreitagesküken a 40g / Tier</t>
  </si>
  <si>
    <r>
      <t xml:space="preserve">Preis kg LG: 24.07.2018 2,75-2,85 je nach Abnehmer  zwischen 2,60- 2,75 € (Tölle) KTBL 16/17 S. 688 2,6-3,10, Auskunft Erzeuger vom 10.03.2017 4 -4,50 € / </t>
    </r>
    <r>
      <rPr>
        <b/>
        <sz val="10"/>
        <rFont val="Arial"/>
        <family val="2"/>
      </rPr>
      <t>kg SG</t>
    </r>
    <r>
      <rPr>
        <sz val="10"/>
        <rFont val="Arial"/>
        <family val="2"/>
      </rPr>
      <t xml:space="preserve"> // Preis Eintageskücken 80-90 Cent/ Stück</t>
    </r>
  </si>
  <si>
    <t xml:space="preserve">Mastfutter: Email RKW Kehl und  MEIKA 18.+19.07. 60 €/dt netto; Erzeugerauskunft 10.3.17 alternativ Futtermüsli aus Getreide, Erbsen etc für 42 € </t>
  </si>
  <si>
    <t>Umtriebe: errechnen sich aus Haltungsdauer und  Leerzeit /// Einstreu, Grünauslauf KTBL WKR  01/17: 0,12 € Pflege Grünauslauf DG und Tier, Stroh 0,23 kg /DG*0,13 €/kg, Reinigungsmittel 0,04€/Stück und Dg</t>
  </si>
  <si>
    <r>
      <t>Neubaukosten KTBL 17 S. 735 Geschlossener Stall mit Kaltscharraum und Grünauslauf 47,92-75,60 €/TP Inv.bedarf gesamt. Zuschlag für BW einkalkuliert //</t>
    </r>
    <r>
      <rPr>
        <sz val="10"/>
        <color rgb="FFFF0000"/>
        <rFont val="Arial"/>
        <family val="2"/>
      </rPr>
      <t xml:space="preserve"> var. Maschinenkosten kalkuliert analog Öko-Legehennen</t>
    </r>
  </si>
  <si>
    <t>KTBL 17 S 726 Spanne zwischen 1:2,2 bis 1:2,6, Auskunft Erzeuger vom 10.3.17- 1:4 bei Fütterung mit eigener Getreidemischung ohne Pellets</t>
  </si>
  <si>
    <t>kg/ erzeugte Einheit</t>
  </si>
  <si>
    <t xml:space="preserve">Vers. 01/2018
</t>
  </si>
  <si>
    <t xml:space="preserve"> - Mastdauer und tägliche Zunahmen</t>
  </si>
  <si>
    <t>Jörg Miez, Katrin Schabel, Dr. Volker Segger, Abt. 2, LEL Schwäbisch Gmünd</t>
  </si>
  <si>
    <t>Mobilstall 40m², 12Tiere/m²</t>
  </si>
  <si>
    <t>Enegiekosten auf 15.- erhöht gegenüber Feststall</t>
  </si>
  <si>
    <t>Mobilstall Wördekemper 40m² 17000.-, email25.07.2018 // var. Maschinenkosten kalkuliert analog Öko-Legehennen</t>
  </si>
  <si>
    <t>Mobilstall Wördekemper 40m² 17000.-, email25.07.2018 zuzüglich 3000.-€ für Bodenplatte in kombinierter Eigenleistung // var. Maschinenkosten kalkuliert analog Öko-Legehennen</t>
  </si>
  <si>
    <t>Energie, Wasser</t>
  </si>
  <si>
    <t xml:space="preserve">©Landesanstalt für Landwirtschaft, Ernährung und Ländlichen Raum(LEL),Oberbettringer Str. 162,                                                                                                                       73525 Schwäbisch Gmünd Tel. 07171 / 917-100  Fax 917-101  e-Mail: poststelle@lel.bwl.de                                                                                                                                </t>
  </si>
  <si>
    <t>Bildquelle: Dominic Menzler, BLE                                                                                                                                                                                             Datenquellen: Andrea Tölle, Bio-hendel bringens BLW 50, 16.12.2016 S.36-37 ;www.ktbl.de, Wirtschaftlichkeitsrechner Tier, Abruf vom 11.01.2017; www.ami-informiert.de, ökolandbau-&gt;preise-&gt; aktuelle, Abruf vom 16.01.2017; Klaus Dorsch, Bio_Geflügel dringend gesucht, Top Agrar 5/2012 S. 138 ff. Faustzahlen für den Ökologischen Landbau, KTBL 2015; Betriebsplanung Landwirtschaft 2014/15, KTBL 2015; Kalkulationsdaten ökologischer Futterbau, LEL 2015;2018: Dr. Kaminsky, RKW-Kehl; Michael Heindl, MEIKA; Axel Hilkmann, Bioland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</si>
</sst>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00"/>
    <numFmt numFmtId="165" formatCode="0.000"/>
    <numFmt numFmtId="166" formatCode="0.0"/>
    <numFmt numFmtId="167" formatCode="0.0%"/>
    <numFmt numFmtId="168" formatCode="#,##0.00\ &quot;€&quot;"/>
    <numFmt numFmtId="169" formatCode="#,##0.00_ ;[Red]\-#,##0.00\ "/>
    <numFmt numFmtId="170" formatCode="#,##0_ ;[Red]\-#,##0\ "/>
    <numFmt numFmtId="171" formatCode="#,##0.0&quot; %&quot;"/>
    <numFmt numFmtId="172" formatCode="#,##0&quot; € je Platz  x&quot;"/>
    <numFmt numFmtId="173" formatCode="#,##0.00&quot; €/AKh&quot;"/>
    <numFmt numFmtId="174" formatCode="#,##0.0&quot; kg LG x&quot;"/>
    <numFmt numFmtId="175" formatCode="#,##0.00&quot; dt&quot;"/>
    <numFmt numFmtId="176" formatCode="#,##0.00&quot; €/kg LG&quot;"/>
    <numFmt numFmtId="177" formatCode="#,##0&quot; € je 100 Plätze  x&quot;"/>
    <numFmt numFmtId="178" formatCode="#,##0.00&quot; AKh je 100 Plätze  x &quot;"/>
    <numFmt numFmtId="179" formatCode="#,##0\ &quot;€&quot;"/>
  </numFmts>
  <fonts count="54" x14ac:knownFonts="1">
    <font>
      <sz val="10"/>
      <name val="Arial"/>
    </font>
    <font>
      <sz val="10"/>
      <name val="Arial"/>
      <family val="2"/>
    </font>
    <font>
      <sz val="12"/>
      <name val="Arial"/>
      <family val="2"/>
    </font>
    <font>
      <sz val="16"/>
      <name val="Arial"/>
      <family val="2"/>
    </font>
    <font>
      <b/>
      <sz val="16"/>
      <name val="Arial"/>
      <family val="2"/>
    </font>
    <font>
      <sz val="14"/>
      <name val="Arial"/>
      <family val="2"/>
    </font>
    <font>
      <b/>
      <sz val="14"/>
      <name val="Arial"/>
      <family val="2"/>
    </font>
    <font>
      <b/>
      <sz val="14"/>
      <name val="Arial"/>
      <family val="2"/>
    </font>
    <font>
      <sz val="13"/>
      <name val="Arial"/>
      <family val="2"/>
    </font>
    <font>
      <sz val="14"/>
      <color indexed="8"/>
      <name val="Arial"/>
      <family val="2"/>
    </font>
    <font>
      <b/>
      <sz val="14"/>
      <color indexed="10"/>
      <name val="Arial"/>
      <family val="2"/>
    </font>
    <font>
      <sz val="20"/>
      <name val="Arial"/>
      <family val="2"/>
    </font>
    <font>
      <sz val="22"/>
      <name val="Arial"/>
      <family val="2"/>
    </font>
    <font>
      <sz val="14"/>
      <color indexed="10"/>
      <name val="Arial"/>
      <family val="2"/>
    </font>
    <font>
      <sz val="16"/>
      <color indexed="8"/>
      <name val="Arial"/>
      <family val="2"/>
    </font>
    <font>
      <sz val="10"/>
      <color indexed="8"/>
      <name val="Arial"/>
      <family val="2"/>
    </font>
    <font>
      <b/>
      <sz val="20"/>
      <color indexed="8"/>
      <name val="Arial"/>
      <family val="2"/>
    </font>
    <font>
      <sz val="12"/>
      <color indexed="8"/>
      <name val="Arial"/>
      <family val="2"/>
    </font>
    <font>
      <b/>
      <sz val="14"/>
      <color indexed="8"/>
      <name val="Arial"/>
      <family val="2"/>
    </font>
    <font>
      <sz val="11"/>
      <color indexed="8"/>
      <name val="Arial"/>
      <family val="2"/>
    </font>
    <font>
      <u/>
      <sz val="7.5"/>
      <color indexed="12"/>
      <name val="Arial"/>
      <family val="2"/>
    </font>
    <font>
      <b/>
      <sz val="12"/>
      <name val="Arial"/>
      <family val="2"/>
    </font>
    <font>
      <b/>
      <sz val="12"/>
      <color indexed="8"/>
      <name val="Arial"/>
      <family val="2"/>
    </font>
    <font>
      <sz val="11"/>
      <name val="Arial"/>
      <family val="2"/>
    </font>
    <font>
      <sz val="10"/>
      <name val="Arial"/>
      <family val="2"/>
    </font>
    <font>
      <b/>
      <sz val="10"/>
      <color indexed="8"/>
      <name val="Arial"/>
      <family val="2"/>
    </font>
    <font>
      <b/>
      <sz val="10"/>
      <name val="Arial"/>
      <family val="2"/>
    </font>
    <font>
      <sz val="12"/>
      <color indexed="10"/>
      <name val="Arial"/>
      <family val="2"/>
    </font>
    <font>
      <b/>
      <sz val="11"/>
      <color indexed="8"/>
      <name val="Arial"/>
      <family val="2"/>
    </font>
    <font>
      <sz val="10"/>
      <color indexed="10"/>
      <name val="Arial"/>
      <family val="2"/>
    </font>
    <font>
      <b/>
      <sz val="11"/>
      <color indexed="10"/>
      <name val="Arial"/>
      <family val="2"/>
    </font>
    <font>
      <b/>
      <sz val="11"/>
      <name val="Arial"/>
      <family val="2"/>
    </font>
    <font>
      <b/>
      <sz val="36"/>
      <name val="Arial"/>
      <family val="2"/>
    </font>
    <font>
      <b/>
      <sz val="22"/>
      <name val="Arial"/>
      <family val="2"/>
    </font>
    <font>
      <sz val="13"/>
      <color indexed="62"/>
      <name val="Arial"/>
      <family val="2"/>
    </font>
    <font>
      <sz val="10"/>
      <color indexed="62"/>
      <name val="Arial"/>
      <family val="2"/>
    </font>
    <font>
      <sz val="12"/>
      <color indexed="62"/>
      <name val="Arial"/>
      <family val="2"/>
    </font>
    <font>
      <b/>
      <u/>
      <sz val="11"/>
      <name val="Arial"/>
      <family val="2"/>
    </font>
    <font>
      <sz val="28"/>
      <name val="Arial"/>
      <family val="2"/>
    </font>
    <font>
      <b/>
      <sz val="18"/>
      <name val="Arial"/>
      <family val="2"/>
    </font>
    <font>
      <b/>
      <i/>
      <sz val="10"/>
      <name val="Arial"/>
      <family val="2"/>
    </font>
    <font>
      <b/>
      <u/>
      <sz val="16"/>
      <color indexed="12"/>
      <name val="Arial"/>
      <family val="2"/>
    </font>
    <font>
      <vertAlign val="subscript"/>
      <sz val="11"/>
      <name val="Arial"/>
      <family val="2"/>
    </font>
    <font>
      <sz val="12"/>
      <color theme="9" tint="-0.499984740745262"/>
      <name val="Arial"/>
      <family val="2"/>
    </font>
    <font>
      <sz val="10"/>
      <color theme="9" tint="-0.499984740745262"/>
      <name val="Arial"/>
      <family val="2"/>
    </font>
    <font>
      <sz val="11"/>
      <color theme="9" tint="-0.499984740745262"/>
      <name val="Arial"/>
      <family val="2"/>
    </font>
    <font>
      <sz val="12"/>
      <color theme="3" tint="0.39997558519241921"/>
      <name val="Arial"/>
      <family val="2"/>
    </font>
    <font>
      <sz val="14"/>
      <color rgb="FFFF0000"/>
      <name val="Arial"/>
      <family val="2"/>
    </font>
    <font>
      <b/>
      <sz val="14"/>
      <color theme="9" tint="-0.499984740745262"/>
      <name val="Arial"/>
      <family val="2"/>
    </font>
    <font>
      <sz val="12"/>
      <color rgb="FFFF0000"/>
      <name val="Arial"/>
      <family val="2"/>
    </font>
    <font>
      <b/>
      <sz val="12"/>
      <color rgb="FFFF0000"/>
      <name val="Arial"/>
      <family val="2"/>
    </font>
    <font>
      <sz val="10"/>
      <color rgb="FFFF0000"/>
      <name val="Arial"/>
      <family val="2"/>
    </font>
    <font>
      <b/>
      <sz val="10"/>
      <color rgb="FFFF0000"/>
      <name val="Arial"/>
      <family val="2"/>
    </font>
    <font>
      <sz val="9"/>
      <name val="Arial"/>
      <family val="2"/>
    </font>
  </fonts>
  <fills count="1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99"/>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499">
    <xf numFmtId="0" fontId="0" fillId="0" borderId="0" xfId="0"/>
    <xf numFmtId="0" fontId="0" fillId="0" borderId="0" xfId="0" applyAlignment="1">
      <alignment vertical="center"/>
    </xf>
    <xf numFmtId="0" fontId="5" fillId="0" borderId="0" xfId="0" applyFont="1" applyFill="1" applyBorder="1" applyAlignment="1">
      <alignment horizontal="center"/>
    </xf>
    <xf numFmtId="0" fontId="0" fillId="0" borderId="0" xfId="0" applyFill="1" applyBorder="1" applyAlignment="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xf numFmtId="165" fontId="5" fillId="0" borderId="0" xfId="0" applyNumberFormat="1" applyFont="1" applyFill="1" applyBorder="1" applyAlignment="1">
      <alignment horizontal="center"/>
    </xf>
    <xf numFmtId="0" fontId="2" fillId="0" borderId="0" xfId="0" applyFont="1" applyBorder="1"/>
    <xf numFmtId="0" fontId="0" fillId="0" borderId="0" xfId="0" applyProtection="1"/>
    <xf numFmtId="0" fontId="0" fillId="0" borderId="0" xfId="0"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0" fontId="8" fillId="0" borderId="0" xfId="0" applyFont="1" applyBorder="1" applyProtection="1"/>
    <xf numFmtId="0" fontId="5" fillId="0" borderId="0" xfId="0" applyFont="1" applyFill="1" applyBorder="1" applyAlignment="1" applyProtection="1">
      <alignment horizontal="center"/>
    </xf>
    <xf numFmtId="0" fontId="0" fillId="0" borderId="0" xfId="0"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7" fillId="0" borderId="0" xfId="0" applyFont="1" applyBorder="1" applyAlignment="1" applyProtection="1">
      <alignment horizontal="center" vertical="center"/>
    </xf>
    <xf numFmtId="1" fontId="7" fillId="0" borderId="0" xfId="0" applyNumberFormat="1" applyFont="1" applyBorder="1" applyAlignment="1" applyProtection="1">
      <alignment horizontal="center" vertical="center"/>
    </xf>
    <xf numFmtId="1" fontId="7" fillId="0" borderId="0" xfId="0" applyNumberFormat="1"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8" fillId="0" borderId="0" xfId="0" applyFont="1" applyFill="1" applyBorder="1" applyProtection="1"/>
    <xf numFmtId="0" fontId="15" fillId="0" borderId="0" xfId="0" applyFont="1" applyProtection="1"/>
    <xf numFmtId="0" fontId="15" fillId="0" borderId="0" xfId="0" applyFont="1"/>
    <xf numFmtId="0" fontId="0" fillId="0" borderId="0" xfId="0"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2" fillId="0" borderId="0" xfId="0" applyFont="1" applyAlignment="1">
      <alignment vertical="center"/>
    </xf>
    <xf numFmtId="0" fontId="13" fillId="0" borderId="0" xfId="0" applyFont="1" applyProtection="1"/>
    <xf numFmtId="2" fontId="23" fillId="2" borderId="12" xfId="0" applyNumberFormat="1" applyFont="1" applyFill="1" applyBorder="1" applyAlignment="1" applyProtection="1">
      <alignment horizontal="center"/>
      <protection locked="0"/>
    </xf>
    <xf numFmtId="0" fontId="27" fillId="0" borderId="0" xfId="0" applyFont="1" applyProtection="1"/>
    <xf numFmtId="0" fontId="2" fillId="0" borderId="0" xfId="0" applyFont="1" applyFill="1" applyBorder="1" applyAlignment="1">
      <alignment vertical="center"/>
    </xf>
    <xf numFmtId="0" fontId="21" fillId="0" borderId="0" xfId="0" applyFont="1" applyBorder="1" applyAlignment="1" applyProtection="1">
      <alignment vertical="center"/>
    </xf>
    <xf numFmtId="0" fontId="21" fillId="0" borderId="0" xfId="0" applyFont="1" applyBorder="1" applyAlignment="1" applyProtection="1">
      <alignment horizontal="centerContinuous" vertical="center"/>
    </xf>
    <xf numFmtId="0" fontId="17" fillId="6" borderId="17" xfId="0" applyFont="1" applyFill="1" applyBorder="1" applyAlignment="1" applyProtection="1">
      <alignment horizontal="center"/>
    </xf>
    <xf numFmtId="3" fontId="17" fillId="6" borderId="17" xfId="0" applyNumberFormat="1" applyFont="1" applyFill="1" applyBorder="1" applyAlignment="1" applyProtection="1">
      <alignment horizontal="center"/>
    </xf>
    <xf numFmtId="1" fontId="17" fillId="6" borderId="17" xfId="0" applyNumberFormat="1" applyFont="1" applyFill="1" applyBorder="1" applyAlignment="1" applyProtection="1">
      <alignment horizontal="center"/>
    </xf>
    <xf numFmtId="3" fontId="17" fillId="6" borderId="23" xfId="0" applyNumberFormat="1" applyFont="1" applyFill="1" applyBorder="1" applyAlignment="1" applyProtection="1">
      <alignment horizontal="centerContinuous"/>
    </xf>
    <xf numFmtId="3" fontId="17" fillId="6" borderId="19" xfId="0" applyNumberFormat="1" applyFont="1" applyFill="1" applyBorder="1" applyAlignment="1" applyProtection="1">
      <alignment horizontal="centerContinuous"/>
    </xf>
    <xf numFmtId="0" fontId="18" fillId="4" borderId="21" xfId="0" applyFont="1" applyFill="1" applyBorder="1" applyAlignment="1" applyProtection="1">
      <alignment horizontal="center"/>
    </xf>
    <xf numFmtId="0" fontId="18" fillId="4" borderId="17" xfId="0" applyFont="1" applyFill="1" applyBorder="1" applyAlignment="1" applyProtection="1">
      <alignment horizontal="center"/>
    </xf>
    <xf numFmtId="0" fontId="18" fillId="6" borderId="21" xfId="0" applyFont="1" applyFill="1" applyBorder="1" applyAlignment="1" applyProtection="1">
      <alignment horizontal="center"/>
    </xf>
    <xf numFmtId="0" fontId="10" fillId="6" borderId="11" xfId="0" applyFont="1" applyFill="1" applyBorder="1" applyAlignment="1" applyProtection="1">
      <alignment horizontal="left"/>
    </xf>
    <xf numFmtId="0" fontId="19" fillId="6" borderId="0" xfId="0" applyFont="1" applyFill="1" applyBorder="1" applyAlignment="1" applyProtection="1">
      <alignment vertical="center"/>
    </xf>
    <xf numFmtId="0" fontId="19" fillId="6" borderId="23" xfId="0" applyFont="1" applyFill="1" applyBorder="1" applyAlignment="1" applyProtection="1">
      <alignment vertical="center"/>
    </xf>
    <xf numFmtId="0" fontId="23" fillId="0" borderId="0" xfId="0" applyFont="1" applyAlignment="1" applyProtection="1">
      <alignment vertical="center"/>
    </xf>
    <xf numFmtId="1" fontId="2" fillId="0" borderId="0" xfId="0" applyNumberFormat="1" applyFont="1" applyAlignment="1" applyProtection="1">
      <alignment vertical="center"/>
    </xf>
    <xf numFmtId="4" fontId="2" fillId="0" borderId="0" xfId="0" applyNumberFormat="1" applyFont="1" applyAlignment="1" applyProtection="1">
      <alignment vertical="center"/>
    </xf>
    <xf numFmtId="2" fontId="2" fillId="0" borderId="0" xfId="0" applyNumberFormat="1" applyFont="1" applyAlignment="1" applyProtection="1">
      <alignment vertical="center"/>
    </xf>
    <xf numFmtId="0" fontId="2" fillId="0" borderId="0" xfId="0" applyFont="1" applyAlignment="1" applyProtection="1">
      <alignment horizontal="right" vertical="center"/>
    </xf>
    <xf numFmtId="3" fontId="0" fillId="0" borderId="0" xfId="0" applyNumberFormat="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xf>
    <xf numFmtId="2" fontId="2" fillId="0" borderId="0" xfId="0" applyNumberFormat="1" applyFont="1" applyFill="1" applyBorder="1" applyAlignment="1" applyProtection="1">
      <alignment horizontal="right" vertical="center"/>
    </xf>
    <xf numFmtId="2" fontId="2" fillId="0" borderId="0" xfId="0" applyNumberFormat="1" applyFont="1" applyFill="1" applyBorder="1" applyAlignment="1">
      <alignment horizontal="right" vertical="center"/>
    </xf>
    <xf numFmtId="2" fontId="21" fillId="0" borderId="0" xfId="0" applyNumberFormat="1" applyFont="1" applyBorder="1" applyAlignment="1" applyProtection="1">
      <alignment horizontal="right" vertical="center"/>
    </xf>
    <xf numFmtId="0" fontId="2" fillId="0" borderId="0" xfId="0" applyFont="1" applyAlignment="1">
      <alignment horizontal="right"/>
    </xf>
    <xf numFmtId="167" fontId="2" fillId="0" borderId="0" xfId="2" applyNumberFormat="1" applyFont="1" applyFill="1" applyBorder="1" applyAlignment="1">
      <alignment horizontal="right" vertical="center"/>
    </xf>
    <xf numFmtId="0" fontId="21" fillId="0" borderId="0" xfId="0" applyFont="1" applyFill="1" applyBorder="1" applyAlignment="1" applyProtection="1">
      <alignment horizontal="lef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horizontal="right" vertical="center"/>
    </xf>
    <xf numFmtId="9" fontId="21" fillId="0" borderId="0" xfId="2" applyFont="1" applyFill="1" applyBorder="1" applyAlignment="1">
      <alignment horizontal="right" vertical="center"/>
    </xf>
    <xf numFmtId="3" fontId="18" fillId="6" borderId="21"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6" borderId="4" xfId="0" applyNumberFormat="1" applyFont="1" applyFill="1" applyBorder="1" applyAlignment="1" applyProtection="1">
      <alignment horizontal="center"/>
    </xf>
    <xf numFmtId="0" fontId="29" fillId="0" borderId="0" xfId="0" applyFont="1" applyAlignment="1" applyProtection="1">
      <alignment vertical="center"/>
    </xf>
    <xf numFmtId="168" fontId="29" fillId="0" borderId="0" xfId="0" applyNumberFormat="1" applyFont="1" applyAlignment="1" applyProtection="1">
      <alignment vertical="center"/>
    </xf>
    <xf numFmtId="4" fontId="0" fillId="0" borderId="0" xfId="0" applyNumberFormat="1" applyAlignment="1" applyProtection="1">
      <alignment vertical="center"/>
    </xf>
    <xf numFmtId="167" fontId="0" fillId="0" borderId="0" xfId="0" applyNumberFormat="1" applyAlignment="1" applyProtection="1">
      <alignment vertical="center"/>
    </xf>
    <xf numFmtId="0" fontId="26" fillId="0" borderId="0" xfId="0" applyFont="1" applyAlignment="1" applyProtection="1">
      <alignment vertical="center"/>
    </xf>
    <xf numFmtId="0" fontId="31" fillId="0" borderId="0" xfId="0" applyFont="1" applyAlignment="1" applyProtection="1">
      <alignment vertical="center"/>
    </xf>
    <xf numFmtId="0" fontId="0" fillId="6" borderId="0" xfId="0" applyFill="1" applyProtection="1"/>
    <xf numFmtId="0" fontId="2" fillId="6" borderId="0" xfId="0" applyFont="1" applyFill="1" applyProtection="1"/>
    <xf numFmtId="0" fontId="23" fillId="6" borderId="11" xfId="0" applyFont="1" applyFill="1" applyBorder="1" applyAlignment="1" applyProtection="1"/>
    <xf numFmtId="0" fontId="23" fillId="6" borderId="9" xfId="0" applyFont="1" applyFill="1" applyBorder="1" applyAlignment="1" applyProtection="1"/>
    <xf numFmtId="0" fontId="23" fillId="6" borderId="11" xfId="0" applyFont="1" applyFill="1" applyBorder="1" applyProtection="1"/>
    <xf numFmtId="0" fontId="23" fillId="6" borderId="9" xfId="0" applyFont="1" applyFill="1" applyBorder="1"/>
    <xf numFmtId="0" fontId="23" fillId="6" borderId="3" xfId="0" applyFont="1" applyFill="1" applyBorder="1" applyProtection="1"/>
    <xf numFmtId="0" fontId="23" fillId="6" borderId="8" xfId="0" applyFont="1" applyFill="1" applyBorder="1" applyAlignment="1" applyProtection="1"/>
    <xf numFmtId="0" fontId="23" fillId="6" borderId="20" xfId="0" applyFont="1" applyFill="1" applyBorder="1" applyAlignment="1" applyProtection="1"/>
    <xf numFmtId="0" fontId="23" fillId="6" borderId="5" xfId="0" applyFont="1" applyFill="1" applyBorder="1" applyProtection="1"/>
    <xf numFmtId="0" fontId="23" fillId="6" borderId="8" xfId="0" applyFont="1" applyFill="1" applyBorder="1" applyProtection="1"/>
    <xf numFmtId="0" fontId="23" fillId="6" borderId="12" xfId="0" applyFont="1" applyFill="1" applyBorder="1" applyProtection="1"/>
    <xf numFmtId="3" fontId="23" fillId="0" borderId="0" xfId="0" applyNumberFormat="1" applyFont="1" applyAlignment="1" applyProtection="1">
      <alignment vertical="center"/>
    </xf>
    <xf numFmtId="0" fontId="23" fillId="0" borderId="0" xfId="0" applyFont="1" applyAlignment="1">
      <alignment vertical="center"/>
    </xf>
    <xf numFmtId="9" fontId="23" fillId="0" borderId="0" xfId="2" applyFont="1" applyAlignment="1" applyProtection="1">
      <alignment vertical="center"/>
    </xf>
    <xf numFmtId="0" fontId="23" fillId="6" borderId="7" xfId="0" applyFont="1" applyFill="1" applyBorder="1" applyAlignment="1" applyProtection="1"/>
    <xf numFmtId="0" fontId="23" fillId="6" borderId="0" xfId="0" applyFont="1" applyFill="1" applyBorder="1" applyAlignment="1" applyProtection="1"/>
    <xf numFmtId="0" fontId="23" fillId="6" borderId="7" xfId="0" applyFont="1" applyFill="1" applyBorder="1" applyProtection="1"/>
    <xf numFmtId="0" fontId="23" fillId="6" borderId="0" xfId="0" applyFont="1" applyFill="1" applyBorder="1"/>
    <xf numFmtId="0" fontId="23" fillId="6" borderId="4" xfId="0" applyFont="1" applyFill="1" applyBorder="1" applyProtection="1"/>
    <xf numFmtId="166" fontId="23" fillId="2" borderId="1" xfId="0" applyNumberFormat="1" applyFont="1" applyFill="1" applyBorder="1" applyAlignment="1" applyProtection="1">
      <alignment horizontal="center"/>
      <protection locked="0"/>
    </xf>
    <xf numFmtId="0" fontId="21" fillId="6" borderId="0" xfId="0" applyFont="1" applyFill="1" applyAlignment="1" applyProtection="1">
      <alignment horizontal="right"/>
    </xf>
    <xf numFmtId="0" fontId="5" fillId="0" borderId="0" xfId="0" applyFont="1" applyAlignment="1">
      <alignment horizontal="right" vertical="center"/>
    </xf>
    <xf numFmtId="165" fontId="23" fillId="0" borderId="27" xfId="0" applyNumberFormat="1" applyFont="1" applyFill="1" applyBorder="1" applyAlignment="1" applyProtection="1">
      <alignment horizontal="center"/>
    </xf>
    <xf numFmtId="165" fontId="23" fillId="0" borderId="14" xfId="0" applyNumberFormat="1" applyFont="1" applyFill="1" applyBorder="1" applyAlignment="1" applyProtection="1">
      <alignment horizontal="center"/>
    </xf>
    <xf numFmtId="167" fontId="23" fillId="2" borderId="1" xfId="2" applyNumberFormat="1" applyFont="1" applyFill="1" applyBorder="1" applyAlignment="1" applyProtection="1">
      <alignment horizontal="center"/>
      <protection locked="0"/>
    </xf>
    <xf numFmtId="167" fontId="23" fillId="2" borderId="16" xfId="2" applyNumberFormat="1" applyFont="1" applyFill="1" applyBorder="1" applyAlignment="1" applyProtection="1">
      <alignment horizontal="center"/>
      <protection locked="0"/>
    </xf>
    <xf numFmtId="167" fontId="23" fillId="0" borderId="35" xfId="2" applyNumberFormat="1" applyFont="1" applyFill="1" applyBorder="1" applyAlignment="1" applyProtection="1">
      <alignment horizontal="center"/>
    </xf>
    <xf numFmtId="165" fontId="23" fillId="0" borderId="0" xfId="0" applyNumberFormat="1" applyFont="1" applyAlignment="1" applyProtection="1">
      <alignment horizontal="center"/>
    </xf>
    <xf numFmtId="167" fontId="19" fillId="0" borderId="15" xfId="0" applyNumberFormat="1" applyFont="1" applyFill="1" applyBorder="1" applyAlignment="1" applyProtection="1">
      <alignment horizontal="center"/>
    </xf>
    <xf numFmtId="167" fontId="23" fillId="0" borderId="36" xfId="2" applyNumberFormat="1" applyFont="1" applyFill="1" applyBorder="1" applyAlignment="1" applyProtection="1">
      <alignment horizontal="center"/>
    </xf>
    <xf numFmtId="167" fontId="23" fillId="0" borderId="29" xfId="2" applyNumberFormat="1" applyFont="1" applyFill="1" applyBorder="1" applyAlignment="1" applyProtection="1">
      <alignment horizontal="center"/>
    </xf>
    <xf numFmtId="0" fontId="34" fillId="0" borderId="0" xfId="0" applyFont="1" applyBorder="1" applyProtection="1"/>
    <xf numFmtId="0" fontId="35" fillId="0" borderId="0" xfId="0" applyFont="1" applyProtection="1"/>
    <xf numFmtId="164" fontId="36" fillId="0" borderId="27" xfId="0" applyNumberFormat="1" applyFont="1" applyFill="1" applyBorder="1" applyAlignment="1" applyProtection="1">
      <alignment horizontal="center"/>
    </xf>
    <xf numFmtId="0" fontId="0" fillId="9" borderId="1" xfId="0" applyFill="1" applyBorder="1" applyAlignment="1" applyProtection="1">
      <alignment vertical="center"/>
    </xf>
    <xf numFmtId="0" fontId="2" fillId="0" borderId="0" xfId="0" applyFont="1" applyBorder="1" applyAlignment="1" applyProtection="1">
      <alignment horizontal="left" vertical="top"/>
    </xf>
    <xf numFmtId="0" fontId="2" fillId="0" borderId="0" xfId="0" applyFont="1" applyAlignment="1">
      <alignment horizontal="left" vertical="top"/>
    </xf>
    <xf numFmtId="0" fontId="43" fillId="0" borderId="0" xfId="0" applyFont="1" applyAlignment="1">
      <alignment vertical="center"/>
    </xf>
    <xf numFmtId="0" fontId="44" fillId="0" borderId="0" xfId="0" applyFont="1" applyAlignment="1" applyProtection="1">
      <alignment vertical="center"/>
    </xf>
    <xf numFmtId="0" fontId="45" fillId="0" borderId="0" xfId="0" applyFont="1" applyAlignment="1">
      <alignment horizontal="right" vertical="center"/>
    </xf>
    <xf numFmtId="0" fontId="44" fillId="0" borderId="0" xfId="0" applyFont="1" applyAlignment="1">
      <alignment vertical="center"/>
    </xf>
    <xf numFmtId="0" fontId="46" fillId="0" borderId="0" xfId="0" applyFont="1" applyAlignment="1" applyProtection="1">
      <alignment horizontal="left" vertical="center"/>
    </xf>
    <xf numFmtId="0" fontId="46" fillId="0" borderId="0" xfId="0" applyFont="1" applyAlignment="1" applyProtection="1">
      <alignment horizontal="right" vertical="center"/>
    </xf>
    <xf numFmtId="0" fontId="46" fillId="0" borderId="0" xfId="0" applyFont="1" applyAlignment="1">
      <alignment horizontal="right" vertical="center"/>
    </xf>
    <xf numFmtId="9" fontId="47" fillId="0" borderId="20" xfId="2" applyFont="1" applyBorder="1" applyAlignment="1" applyProtection="1">
      <alignment horizontal="left"/>
    </xf>
    <xf numFmtId="0" fontId="0" fillId="10" borderId="0" xfId="0" applyFill="1"/>
    <xf numFmtId="0" fontId="1" fillId="10" borderId="0" xfId="0" applyFont="1" applyFill="1" applyAlignment="1">
      <alignment vertical="center"/>
    </xf>
    <xf numFmtId="0" fontId="1" fillId="10" borderId="0" xfId="0" applyFont="1" applyFill="1"/>
    <xf numFmtId="167" fontId="23" fillId="0" borderId="0" xfId="2" applyNumberFormat="1" applyFont="1" applyFill="1" applyBorder="1" applyAlignment="1" applyProtection="1">
      <alignment horizontal="center"/>
    </xf>
    <xf numFmtId="164" fontId="36" fillId="0" borderId="0" xfId="0" applyNumberFormat="1" applyFont="1" applyFill="1" applyBorder="1" applyAlignment="1" applyProtection="1">
      <alignment horizontal="center"/>
    </xf>
    <xf numFmtId="0" fontId="2" fillId="11" borderId="0" xfId="0" applyFont="1" applyFill="1" applyProtection="1"/>
    <xf numFmtId="0" fontId="2" fillId="11" borderId="0" xfId="0" applyFont="1" applyFill="1" applyAlignment="1" applyProtection="1">
      <alignment horizontal="right"/>
    </xf>
    <xf numFmtId="0" fontId="0" fillId="11" borderId="0" xfId="0" applyFill="1"/>
    <xf numFmtId="0" fontId="0" fillId="11" borderId="0" xfId="0" applyFill="1" applyProtection="1"/>
    <xf numFmtId="0" fontId="0" fillId="11" borderId="0" xfId="0" applyFill="1" applyAlignment="1">
      <alignment vertical="center"/>
    </xf>
    <xf numFmtId="0" fontId="23" fillId="6" borderId="0" xfId="0" applyFont="1" applyFill="1" applyBorder="1" applyAlignment="1" applyProtection="1">
      <alignment horizontal="left"/>
    </xf>
    <xf numFmtId="0" fontId="31" fillId="6" borderId="0" xfId="0" applyFont="1" applyFill="1" applyBorder="1" applyAlignment="1" applyProtection="1"/>
    <xf numFmtId="0" fontId="1" fillId="0" borderId="18" xfId="0" applyFont="1" applyBorder="1" applyAlignment="1" applyProtection="1">
      <alignment horizontal="center" vertical="center"/>
    </xf>
    <xf numFmtId="0" fontId="23" fillId="0" borderId="0" xfId="0" applyFont="1" applyFill="1" applyBorder="1" applyAlignment="1" applyProtection="1"/>
    <xf numFmtId="0" fontId="23" fillId="0" borderId="0" xfId="0" applyFont="1" applyFill="1" applyBorder="1" applyProtection="1"/>
    <xf numFmtId="0" fontId="0" fillId="0" borderId="0" xfId="0" applyFill="1"/>
    <xf numFmtId="0" fontId="0" fillId="0" borderId="0" xfId="0" applyFill="1" applyAlignment="1">
      <alignment vertical="center"/>
    </xf>
    <xf numFmtId="2" fontId="23" fillId="2" borderId="38" xfId="0" applyNumberFormat="1" applyFont="1" applyFill="1" applyBorder="1" applyAlignment="1" applyProtection="1">
      <alignment horizontal="center"/>
      <protection locked="0"/>
    </xf>
    <xf numFmtId="2" fontId="23" fillId="2" borderId="29" xfId="0" applyNumberFormat="1" applyFont="1" applyFill="1" applyBorder="1" applyAlignment="1" applyProtection="1">
      <alignment horizontal="center"/>
      <protection locked="0"/>
    </xf>
    <xf numFmtId="0" fontId="0" fillId="0" borderId="20" xfId="0" applyBorder="1" applyAlignment="1" applyProtection="1">
      <alignment vertical="center"/>
    </xf>
    <xf numFmtId="2" fontId="23" fillId="2" borderId="35" xfId="0" applyNumberFormat="1" applyFont="1" applyFill="1" applyBorder="1" applyAlignment="1" applyProtection="1">
      <alignment horizontal="center"/>
      <protection locked="0"/>
    </xf>
    <xf numFmtId="0" fontId="1" fillId="0" borderId="0" xfId="0" applyFont="1"/>
    <xf numFmtId="0" fontId="1" fillId="0" borderId="0" xfId="0" applyFont="1" applyAlignment="1">
      <alignment vertical="center" wrapText="1"/>
    </xf>
    <xf numFmtId="0" fontId="12" fillId="0" borderId="0" xfId="0" applyFont="1" applyFill="1" applyBorder="1" applyAlignment="1" applyProtection="1">
      <alignment horizontal="left" vertical="center"/>
    </xf>
    <xf numFmtId="0" fontId="21" fillId="6" borderId="0" xfId="0" applyFont="1" applyFill="1" applyAlignment="1" applyProtection="1">
      <alignment horizontal="right" vertical="center"/>
    </xf>
    <xf numFmtId="14" fontId="21" fillId="2" borderId="34" xfId="0" applyNumberFormat="1" applyFont="1" applyFill="1" applyBorder="1" applyAlignment="1" applyProtection="1">
      <alignment horizontal="center" vertical="center"/>
      <protection locked="0"/>
    </xf>
    <xf numFmtId="166" fontId="23" fillId="2" borderId="15" xfId="0" applyNumberFormat="1" applyFont="1" applyFill="1" applyBorder="1" applyAlignment="1" applyProtection="1">
      <alignment horizontal="center"/>
      <protection locked="0"/>
    </xf>
    <xf numFmtId="0" fontId="3" fillId="0" borderId="7" xfId="0" applyFont="1" applyFill="1" applyBorder="1" applyAlignment="1">
      <alignment horizontal="left"/>
    </xf>
    <xf numFmtId="0" fontId="21" fillId="2" borderId="34" xfId="0" applyFont="1" applyFill="1" applyBorder="1" applyAlignment="1" applyProtection="1">
      <alignment horizontal="center" vertical="center"/>
      <protection locked="0"/>
    </xf>
    <xf numFmtId="0" fontId="48" fillId="7" borderId="13" xfId="0"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2" fontId="49" fillId="0" borderId="0" xfId="0" applyNumberFormat="1" applyFont="1" applyFill="1" applyBorder="1" applyAlignment="1">
      <alignment horizontal="right" vertical="center"/>
    </xf>
    <xf numFmtId="0" fontId="31" fillId="6" borderId="7" xfId="0" applyFont="1" applyFill="1" applyBorder="1" applyAlignment="1" applyProtection="1">
      <alignment horizontal="left"/>
    </xf>
    <xf numFmtId="0" fontId="23" fillId="6" borderId="7" xfId="0" applyFont="1" applyFill="1" applyBorder="1" applyAlignment="1" applyProtection="1">
      <alignment horizontal="left"/>
    </xf>
    <xf numFmtId="4" fontId="17" fillId="6" borderId="17" xfId="0" applyNumberFormat="1" applyFont="1" applyFill="1" applyBorder="1" applyAlignment="1" applyProtection="1">
      <alignment horizontal="center"/>
    </xf>
    <xf numFmtId="2" fontId="23" fillId="2" borderId="2" xfId="2" applyNumberFormat="1" applyFont="1" applyFill="1" applyBorder="1" applyAlignment="1" applyProtection="1">
      <alignment horizontal="center"/>
      <protection locked="0"/>
    </xf>
    <xf numFmtId="2" fontId="23" fillId="2" borderId="1" xfId="2" applyNumberFormat="1" applyFont="1" applyFill="1" applyBorder="1" applyAlignment="1" applyProtection="1">
      <alignment horizontal="center"/>
      <protection locked="0"/>
    </xf>
    <xf numFmtId="2" fontId="23" fillId="2" borderId="16" xfId="2" applyNumberFormat="1" applyFont="1" applyFill="1" applyBorder="1" applyAlignment="1" applyProtection="1">
      <alignment horizontal="center"/>
      <protection locked="0"/>
    </xf>
    <xf numFmtId="169" fontId="18" fillId="4" borderId="17" xfId="0" applyNumberFormat="1" applyFont="1" applyFill="1" applyBorder="1" applyAlignment="1" applyProtection="1">
      <alignment horizontal="center"/>
    </xf>
    <xf numFmtId="169" fontId="18" fillId="4" borderId="23" xfId="0" applyNumberFormat="1" applyFont="1" applyFill="1" applyBorder="1" applyAlignment="1" applyProtection="1">
      <alignment horizontal="centerContinuous"/>
    </xf>
    <xf numFmtId="3" fontId="18" fillId="4" borderId="19" xfId="0" applyNumberFormat="1" applyFont="1" applyFill="1" applyBorder="1" applyAlignment="1" applyProtection="1">
      <alignment horizontal="centerContinuous"/>
    </xf>
    <xf numFmtId="0" fontId="17" fillId="6" borderId="27" xfId="0" applyFont="1" applyFill="1" applyBorder="1" applyAlignment="1" applyProtection="1">
      <alignment horizontal="center"/>
    </xf>
    <xf numFmtId="3" fontId="17" fillId="6" borderId="27" xfId="0" applyNumberFormat="1" applyFont="1" applyFill="1" applyBorder="1" applyAlignment="1" applyProtection="1">
      <alignment horizontal="center"/>
    </xf>
    <xf numFmtId="1" fontId="17" fillId="6" borderId="27" xfId="0" applyNumberFormat="1" applyFont="1" applyFill="1" applyBorder="1" applyAlignment="1" applyProtection="1">
      <alignment horizontal="center"/>
    </xf>
    <xf numFmtId="3" fontId="17" fillId="6" borderId="33" xfId="0" applyNumberFormat="1" applyFont="1" applyFill="1" applyBorder="1" applyAlignment="1" applyProtection="1">
      <alignment horizontal="centerContinuous"/>
    </xf>
    <xf numFmtId="3" fontId="17" fillId="6" borderId="28" xfId="0" applyNumberFormat="1" applyFont="1" applyFill="1" applyBorder="1" applyAlignment="1" applyProtection="1">
      <alignment horizontal="centerContinuous"/>
    </xf>
    <xf numFmtId="0" fontId="13" fillId="6" borderId="9" xfId="0" applyFont="1" applyFill="1" applyBorder="1" applyAlignment="1" applyProtection="1"/>
    <xf numFmtId="0" fontId="13" fillId="6" borderId="20" xfId="0" applyFont="1" applyFill="1" applyBorder="1" applyAlignment="1" applyProtection="1"/>
    <xf numFmtId="166" fontId="13" fillId="6" borderId="9" xfId="0" applyNumberFormat="1" applyFont="1" applyFill="1" applyBorder="1" applyAlignment="1" applyProtection="1">
      <alignment horizontal="left"/>
    </xf>
    <xf numFmtId="0" fontId="13" fillId="6" borderId="8" xfId="0" applyFont="1" applyFill="1" applyBorder="1" applyAlignment="1" applyProtection="1"/>
    <xf numFmtId="0" fontId="3" fillId="0" borderId="0" xfId="0" applyFont="1" applyBorder="1" applyAlignment="1">
      <alignment wrapText="1"/>
    </xf>
    <xf numFmtId="0" fontId="3" fillId="0" borderId="4" xfId="0" applyFont="1" applyBorder="1" applyAlignment="1">
      <alignment wrapText="1"/>
    </xf>
    <xf numFmtId="0" fontId="1" fillId="0" borderId="0" xfId="0" applyFont="1" applyAlignment="1" applyProtection="1">
      <alignment vertical="center"/>
    </xf>
    <xf numFmtId="0" fontId="23" fillId="0" borderId="8" xfId="0" applyFont="1" applyBorder="1" applyAlignment="1" applyProtection="1">
      <alignment horizontal="left"/>
    </xf>
    <xf numFmtId="170" fontId="18" fillId="4" borderId="21" xfId="0" applyNumberFormat="1" applyFont="1" applyFill="1" applyBorder="1" applyAlignment="1" applyProtection="1">
      <alignment horizontal="center"/>
    </xf>
    <xf numFmtId="170" fontId="18" fillId="4" borderId="0" xfId="0" applyNumberFormat="1" applyFont="1" applyFill="1" applyBorder="1" applyAlignment="1" applyProtection="1">
      <alignment horizontal="centerContinuous"/>
    </xf>
    <xf numFmtId="170" fontId="18" fillId="4" borderId="4" xfId="0" applyNumberFormat="1" applyFont="1" applyFill="1" applyBorder="1" applyAlignment="1" applyProtection="1">
      <alignment horizontal="centerContinuous"/>
    </xf>
    <xf numFmtId="170" fontId="9" fillId="4" borderId="4" xfId="0" applyNumberFormat="1" applyFont="1" applyFill="1" applyBorder="1" applyAlignment="1" applyProtection="1">
      <alignment horizontal="centerContinuous"/>
    </xf>
    <xf numFmtId="0" fontId="26" fillId="0" borderId="0" xfId="0" applyFont="1" applyAlignment="1">
      <alignment vertical="center"/>
    </xf>
    <xf numFmtId="167" fontId="23" fillId="11" borderId="0" xfId="2" applyNumberFormat="1" applyFont="1" applyFill="1" applyBorder="1" applyAlignment="1" applyProtection="1">
      <alignment horizontal="right"/>
    </xf>
    <xf numFmtId="0" fontId="23" fillId="11" borderId="0" xfId="2" applyNumberFormat="1" applyFont="1" applyFill="1" applyBorder="1" applyAlignment="1" applyProtection="1">
      <alignment horizontal="center"/>
    </xf>
    <xf numFmtId="0" fontId="5" fillId="13" borderId="0" xfId="0" applyFont="1" applyFill="1" applyAlignment="1">
      <alignment vertical="center"/>
    </xf>
    <xf numFmtId="0" fontId="0" fillId="13" borderId="0" xfId="0" applyFill="1" applyAlignment="1">
      <alignment vertical="center"/>
    </xf>
    <xf numFmtId="0" fontId="14" fillId="0" borderId="1" xfId="0" applyFont="1" applyFill="1" applyBorder="1" applyAlignment="1" applyProtection="1">
      <alignment horizontal="center"/>
    </xf>
    <xf numFmtId="0" fontId="21" fillId="14" borderId="13" xfId="0" applyFont="1" applyFill="1" applyBorder="1" applyAlignment="1">
      <alignment vertical="center"/>
    </xf>
    <xf numFmtId="0" fontId="38" fillId="15" borderId="11" xfId="0" applyFont="1" applyFill="1" applyBorder="1" applyAlignment="1" applyProtection="1">
      <alignment vertical="top" wrapText="1"/>
    </xf>
    <xf numFmtId="0" fontId="38" fillId="15" borderId="9" xfId="0" applyFont="1" applyFill="1" applyBorder="1" applyAlignment="1" applyProtection="1">
      <alignment vertical="top" wrapText="1"/>
    </xf>
    <xf numFmtId="0" fontId="6" fillId="15" borderId="3" xfId="0" applyFont="1" applyFill="1" applyBorder="1" applyAlignment="1" applyProtection="1">
      <alignment vertical="center" wrapText="1"/>
    </xf>
    <xf numFmtId="0" fontId="2" fillId="15" borderId="5" xfId="0" applyFont="1" applyFill="1" applyBorder="1" applyAlignment="1" applyProtection="1">
      <alignment horizontal="left"/>
    </xf>
    <xf numFmtId="0" fontId="9" fillId="4" borderId="21" xfId="0" applyFont="1" applyFill="1" applyBorder="1" applyAlignment="1" applyProtection="1">
      <alignment horizontal="right"/>
    </xf>
    <xf numFmtId="0" fontId="9" fillId="4" borderId="17" xfId="0" applyFont="1" applyFill="1" applyBorder="1" applyAlignment="1" applyProtection="1">
      <alignment horizontal="right"/>
    </xf>
    <xf numFmtId="0" fontId="1" fillId="0" borderId="7" xfId="0" applyFont="1" applyBorder="1" applyAlignment="1">
      <alignment vertical="center"/>
    </xf>
    <xf numFmtId="0" fontId="31" fillId="6" borderId="0" xfId="0" applyFont="1" applyFill="1" applyBorder="1" applyAlignment="1" applyProtection="1">
      <alignment horizontal="left"/>
    </xf>
    <xf numFmtId="0" fontId="23" fillId="0" borderId="20" xfId="0" applyFont="1" applyBorder="1" applyAlignment="1" applyProtection="1">
      <alignment horizontal="left"/>
    </xf>
    <xf numFmtId="0" fontId="1" fillId="0" borderId="0" xfId="0" applyFont="1" applyBorder="1" applyAlignment="1">
      <alignment vertical="center"/>
    </xf>
    <xf numFmtId="0" fontId="52" fillId="0" borderId="0" xfId="0" applyFont="1" applyAlignment="1" applyProtection="1">
      <alignment vertical="center"/>
    </xf>
    <xf numFmtId="0" fontId="52" fillId="0" borderId="0" xfId="0" applyFont="1" applyAlignment="1">
      <alignment vertical="center"/>
    </xf>
    <xf numFmtId="0" fontId="15" fillId="6" borderId="9" xfId="0" applyFont="1" applyFill="1" applyBorder="1" applyAlignment="1" applyProtection="1">
      <alignment vertical="center"/>
    </xf>
    <xf numFmtId="0" fontId="19" fillId="6" borderId="3" xfId="0" applyFont="1" applyFill="1" applyBorder="1" applyAlignment="1" applyProtection="1">
      <alignment vertical="center"/>
    </xf>
    <xf numFmtId="0" fontId="19" fillId="6" borderId="4" xfId="0" applyFont="1" applyFill="1" applyBorder="1" applyAlignment="1" applyProtection="1">
      <alignment vertical="center"/>
    </xf>
    <xf numFmtId="0" fontId="15" fillId="6" borderId="7" xfId="0" applyFont="1" applyFill="1" applyBorder="1" applyAlignment="1">
      <alignment vertical="center"/>
    </xf>
    <xf numFmtId="0" fontId="15" fillId="6" borderId="0" xfId="0" applyFont="1" applyFill="1" applyBorder="1" applyAlignment="1">
      <alignment vertical="center"/>
    </xf>
    <xf numFmtId="2" fontId="28" fillId="2" borderId="1" xfId="0" applyNumberFormat="1" applyFont="1" applyFill="1" applyBorder="1" applyAlignment="1" applyProtection="1">
      <alignment horizontal="center" vertical="center"/>
      <protection locked="0"/>
    </xf>
    <xf numFmtId="166" fontId="19" fillId="2" borderId="1" xfId="0" applyNumberFormat="1" applyFont="1" applyFill="1" applyBorder="1" applyAlignment="1" applyProtection="1">
      <alignment horizontal="center" vertical="center"/>
      <protection locked="0"/>
    </xf>
    <xf numFmtId="0" fontId="15" fillId="6" borderId="7" xfId="0" applyFont="1" applyFill="1" applyBorder="1" applyAlignment="1" applyProtection="1">
      <alignment horizontal="left" vertical="center"/>
    </xf>
    <xf numFmtId="0" fontId="15" fillId="6" borderId="6" xfId="0" applyFont="1" applyFill="1" applyBorder="1" applyAlignment="1" applyProtection="1">
      <alignment vertical="center"/>
    </xf>
    <xf numFmtId="0" fontId="15" fillId="6" borderId="23" xfId="0" applyFont="1" applyFill="1" applyBorder="1" applyAlignment="1" applyProtection="1">
      <alignment vertical="center"/>
    </xf>
    <xf numFmtId="0" fontId="19" fillId="6" borderId="19" xfId="0" applyFont="1" applyFill="1" applyBorder="1" applyAlignment="1" applyProtection="1">
      <alignment vertical="center"/>
    </xf>
    <xf numFmtId="2" fontId="19" fillId="6" borderId="18" xfId="0" applyNumberFormat="1" applyFont="1" applyFill="1" applyBorder="1" applyAlignment="1" applyProtection="1">
      <alignment horizontal="center" vertical="center"/>
    </xf>
    <xf numFmtId="0" fontId="15" fillId="6" borderId="0" xfId="0" applyFont="1" applyFill="1" applyBorder="1" applyAlignment="1" applyProtection="1">
      <alignment vertical="center"/>
    </xf>
    <xf numFmtId="0" fontId="24" fillId="6" borderId="23" xfId="0" applyFont="1" applyFill="1" applyBorder="1" applyAlignment="1" applyProtection="1">
      <alignment horizontal="right" vertical="center"/>
    </xf>
    <xf numFmtId="0" fontId="1" fillId="0" borderId="14" xfId="0" applyFont="1" applyFill="1" applyBorder="1" applyAlignment="1" applyProtection="1">
      <alignment vertical="center"/>
    </xf>
    <xf numFmtId="2" fontId="28" fillId="6" borderId="1" xfId="0" applyNumberFormat="1" applyFont="1" applyFill="1" applyBorder="1" applyAlignment="1" applyProtection="1">
      <alignment horizontal="center" vertical="center"/>
    </xf>
    <xf numFmtId="0" fontId="19" fillId="9" borderId="4" xfId="0" applyFont="1" applyFill="1" applyBorder="1" applyAlignment="1" applyProtection="1">
      <alignment vertical="center"/>
    </xf>
    <xf numFmtId="1" fontId="19" fillId="2" borderId="18" xfId="0" applyNumberFormat="1" applyFont="1" applyFill="1" applyBorder="1" applyAlignment="1" applyProtection="1">
      <alignment horizontal="center" vertical="center"/>
      <protection locked="0"/>
    </xf>
    <xf numFmtId="2" fontId="23" fillId="0" borderId="1" xfId="0" applyNumberFormat="1" applyFont="1" applyBorder="1" applyAlignment="1" applyProtection="1">
      <alignment horizontal="center" vertical="center"/>
    </xf>
    <xf numFmtId="0" fontId="15" fillId="6" borderId="7" xfId="0" applyFont="1" applyFill="1" applyBorder="1" applyAlignment="1" applyProtection="1">
      <alignment vertical="center"/>
    </xf>
    <xf numFmtId="1" fontId="19" fillId="2" borderId="1" xfId="0" applyNumberFormat="1" applyFont="1" applyFill="1" applyBorder="1" applyAlignment="1" applyProtection="1">
      <alignment horizontal="center" vertical="center"/>
      <protection locked="0"/>
    </xf>
    <xf numFmtId="0" fontId="1" fillId="6" borderId="7" xfId="0" applyFont="1" applyFill="1" applyBorder="1" applyAlignment="1" applyProtection="1">
      <alignment vertical="center"/>
    </xf>
    <xf numFmtId="0" fontId="1" fillId="6" borderId="0" xfId="0" applyFont="1" applyFill="1" applyBorder="1" applyAlignment="1" applyProtection="1">
      <alignment vertical="center"/>
    </xf>
    <xf numFmtId="0" fontId="24" fillId="6" borderId="0" xfId="0" applyFont="1" applyFill="1" applyBorder="1" applyAlignment="1" applyProtection="1">
      <alignment vertical="center"/>
    </xf>
    <xf numFmtId="3" fontId="31" fillId="2" borderId="1" xfId="0" applyNumberFormat="1" applyFont="1" applyFill="1" applyBorder="1" applyAlignment="1" applyProtection="1">
      <alignment horizontal="center" vertical="center"/>
      <protection locked="0"/>
    </xf>
    <xf numFmtId="3" fontId="31" fillId="0" borderId="1" xfId="0" applyNumberFormat="1" applyFont="1" applyFill="1" applyBorder="1" applyAlignment="1" applyProtection="1">
      <alignment horizontal="center" vertical="center"/>
    </xf>
    <xf numFmtId="0" fontId="19" fillId="2" borderId="1" xfId="0" applyFont="1" applyFill="1" applyBorder="1" applyAlignment="1" applyProtection="1">
      <alignment horizontal="center" vertical="center"/>
      <protection locked="0"/>
    </xf>
    <xf numFmtId="167" fontId="23" fillId="2" borderId="18" xfId="2" applyNumberFormat="1" applyFont="1" applyFill="1" applyBorder="1" applyAlignment="1" applyProtection="1">
      <alignment horizontal="center" vertical="center"/>
      <protection locked="0"/>
    </xf>
    <xf numFmtId="2" fontId="23" fillId="6" borderId="18" xfId="0" applyNumberFormat="1" applyFont="1" applyFill="1" applyBorder="1" applyAlignment="1" applyProtection="1">
      <alignment horizontal="center" vertical="center"/>
    </xf>
    <xf numFmtId="0" fontId="51" fillId="0" borderId="0" xfId="0" applyFont="1" applyBorder="1" applyAlignment="1" applyProtection="1">
      <alignment vertical="center"/>
    </xf>
    <xf numFmtId="1" fontId="23" fillId="2" borderId="1" xfId="0" applyNumberFormat="1" applyFont="1" applyFill="1" applyBorder="1" applyAlignment="1" applyProtection="1">
      <alignment horizontal="center" vertical="center"/>
      <protection locked="0"/>
    </xf>
    <xf numFmtId="0" fontId="51" fillId="0" borderId="20" xfId="0" applyFont="1" applyBorder="1" applyAlignment="1" applyProtection="1">
      <alignment vertical="center"/>
    </xf>
    <xf numFmtId="0" fontId="19" fillId="9" borderId="16" xfId="0" applyFont="1" applyFill="1" applyBorder="1" applyAlignment="1" applyProtection="1">
      <alignment vertical="center"/>
    </xf>
    <xf numFmtId="166" fontId="28" fillId="2" borderId="16" xfId="0" applyNumberFormat="1" applyFont="1" applyFill="1" applyBorder="1" applyAlignment="1" applyProtection="1">
      <alignment horizontal="center" vertical="center"/>
      <protection locked="0"/>
    </xf>
    <xf numFmtId="0" fontId="19" fillId="6" borderId="5" xfId="0" applyFont="1" applyFill="1" applyBorder="1" applyAlignment="1" applyProtection="1">
      <alignment vertical="center"/>
    </xf>
    <xf numFmtId="0" fontId="1" fillId="0" borderId="7" xfId="0" applyFont="1" applyBorder="1" applyAlignment="1" applyProtection="1">
      <alignment vertical="center" textRotation="90"/>
    </xf>
    <xf numFmtId="0" fontId="19" fillId="6" borderId="41" xfId="0" applyFont="1" applyFill="1" applyBorder="1" applyAlignment="1" applyProtection="1">
      <alignment vertical="center"/>
    </xf>
    <xf numFmtId="0" fontId="1" fillId="0" borderId="0" xfId="0" applyFont="1" applyBorder="1" applyAlignment="1" applyProtection="1">
      <alignment vertical="center"/>
    </xf>
    <xf numFmtId="0" fontId="19" fillId="6" borderId="9" xfId="0" applyFont="1" applyFill="1" applyBorder="1" applyAlignment="1" applyProtection="1">
      <alignment vertical="center"/>
    </xf>
    <xf numFmtId="0" fontId="19"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19" fillId="6" borderId="23" xfId="0" applyFont="1" applyFill="1" applyBorder="1" applyAlignment="1" applyProtection="1">
      <alignment horizontal="left" vertical="center"/>
    </xf>
    <xf numFmtId="0" fontId="23" fillId="0" borderId="0" xfId="0" applyFont="1" applyBorder="1" applyAlignment="1" applyProtection="1">
      <alignment vertical="center"/>
    </xf>
    <xf numFmtId="0" fontId="23" fillId="0" borderId="20" xfId="0" applyFont="1" applyBorder="1" applyAlignment="1" applyProtection="1">
      <alignment vertical="center"/>
    </xf>
    <xf numFmtId="0" fontId="1" fillId="0" borderId="42" xfId="0" applyFont="1" applyFill="1" applyBorder="1" applyAlignment="1" applyProtection="1">
      <alignment horizontal="left" vertical="center"/>
    </xf>
    <xf numFmtId="0" fontId="1" fillId="6" borderId="7" xfId="0" applyFont="1" applyFill="1" applyBorder="1" applyAlignment="1" applyProtection="1">
      <alignment horizontal="left" vertical="center"/>
    </xf>
    <xf numFmtId="0" fontId="1" fillId="6" borderId="6" xfId="0" applyFont="1" applyFill="1" applyBorder="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2" fillId="16" borderId="31" xfId="0" applyFont="1" applyFill="1" applyBorder="1" applyAlignment="1" applyProtection="1">
      <alignment vertical="center"/>
    </xf>
    <xf numFmtId="0" fontId="2" fillId="16" borderId="32" xfId="0" applyFont="1" applyFill="1" applyBorder="1" applyAlignment="1" applyProtection="1">
      <alignment vertical="center" wrapText="1"/>
    </xf>
    <xf numFmtId="0" fontId="0" fillId="12" borderId="0" xfId="0" applyFill="1" applyAlignment="1">
      <alignment vertical="center"/>
    </xf>
    <xf numFmtId="2" fontId="23" fillId="2" borderId="1" xfId="0" applyNumberFormat="1" applyFont="1" applyFill="1" applyBorder="1" applyAlignment="1" applyProtection="1">
      <alignment horizontal="center" vertical="center"/>
      <protection locked="0"/>
    </xf>
    <xf numFmtId="1" fontId="23" fillId="11" borderId="18" xfId="0" applyNumberFormat="1" applyFont="1" applyFill="1" applyBorder="1" applyAlignment="1" applyProtection="1">
      <alignment horizontal="center" vertical="center"/>
    </xf>
    <xf numFmtId="0" fontId="1" fillId="0" borderId="7" xfId="0" applyFont="1" applyBorder="1" applyAlignment="1" applyProtection="1">
      <alignment vertical="center"/>
    </xf>
    <xf numFmtId="0" fontId="23" fillId="0" borderId="0" xfId="0" applyFont="1" applyBorder="1" applyAlignment="1">
      <alignment vertical="center"/>
    </xf>
    <xf numFmtId="0" fontId="1" fillId="0" borderId="8" xfId="0" applyFont="1" applyBorder="1" applyAlignment="1" applyProtection="1">
      <alignment vertical="center"/>
    </xf>
    <xf numFmtId="0" fontId="5" fillId="0" borderId="0" xfId="0" applyFont="1" applyFill="1" applyAlignment="1">
      <alignment vertical="center"/>
    </xf>
    <xf numFmtId="0" fontId="26" fillId="10" borderId="0" xfId="0" applyFont="1" applyFill="1" applyAlignment="1">
      <alignment vertical="center"/>
    </xf>
    <xf numFmtId="1" fontId="2" fillId="0" borderId="0" xfId="0" applyNumberFormat="1" applyFont="1" applyFill="1" applyBorder="1" applyAlignment="1">
      <alignment horizontal="right" vertical="center"/>
    </xf>
    <xf numFmtId="1" fontId="2" fillId="0" borderId="33" xfId="0" applyNumberFormat="1" applyFont="1" applyFill="1" applyBorder="1" applyAlignment="1">
      <alignment horizontal="center" vertical="center"/>
    </xf>
    <xf numFmtId="0" fontId="0" fillId="0" borderId="33" xfId="0" applyFill="1" applyBorder="1" applyAlignment="1">
      <alignment vertical="center"/>
    </xf>
    <xf numFmtId="0" fontId="0" fillId="0" borderId="27" xfId="0" applyFill="1" applyBorder="1" applyAlignment="1">
      <alignment vertical="center"/>
    </xf>
    <xf numFmtId="0" fontId="0" fillId="0" borderId="21" xfId="0"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2" fillId="0" borderId="24" xfId="0" applyFont="1" applyFill="1" applyBorder="1"/>
    <xf numFmtId="0" fontId="2" fillId="0" borderId="24" xfId="0" applyFont="1" applyFill="1" applyBorder="1" applyAlignment="1">
      <alignment vertical="center"/>
    </xf>
    <xf numFmtId="0" fontId="2" fillId="0" borderId="24" xfId="0" applyFont="1" applyBorder="1" applyAlignment="1">
      <alignment vertical="center"/>
    </xf>
    <xf numFmtId="1" fontId="2" fillId="0" borderId="0" xfId="0" applyNumberFormat="1" applyFont="1" applyBorder="1" applyAlignment="1">
      <alignment horizontal="right" vertical="center"/>
    </xf>
    <xf numFmtId="1" fontId="2" fillId="0" borderId="0" xfId="0" applyNumberFormat="1" applyFont="1" applyBorder="1" applyAlignment="1">
      <alignment vertical="center"/>
    </xf>
    <xf numFmtId="0" fontId="2" fillId="0" borderId="39" xfId="0" applyFont="1" applyBorder="1" applyAlignment="1">
      <alignment vertical="center"/>
    </xf>
    <xf numFmtId="1" fontId="2" fillId="0" borderId="23" xfId="0" applyNumberFormat="1" applyFont="1" applyBorder="1" applyAlignment="1">
      <alignment horizontal="right" vertical="center"/>
    </xf>
    <xf numFmtId="0" fontId="37" fillId="0" borderId="43" xfId="0" applyFont="1" applyFill="1" applyBorder="1"/>
    <xf numFmtId="172" fontId="1" fillId="6" borderId="0" xfId="0" applyNumberFormat="1" applyFont="1" applyFill="1" applyBorder="1" applyAlignment="1" applyProtection="1">
      <alignment horizontal="right"/>
    </xf>
    <xf numFmtId="171" fontId="1" fillId="6" borderId="21" xfId="0" applyNumberFormat="1" applyFont="1" applyFill="1" applyBorder="1" applyAlignment="1" applyProtection="1">
      <alignment horizontal="left"/>
    </xf>
    <xf numFmtId="0" fontId="17" fillId="6" borderId="21" xfId="0" applyFont="1" applyFill="1" applyBorder="1" applyAlignment="1" applyProtection="1">
      <alignment horizontal="center"/>
    </xf>
    <xf numFmtId="3" fontId="17" fillId="6" borderId="21" xfId="0" applyNumberFormat="1" applyFont="1" applyFill="1" applyBorder="1" applyAlignment="1" applyProtection="1">
      <alignment horizontal="center"/>
    </xf>
    <xf numFmtId="3" fontId="17" fillId="6" borderId="0" xfId="0" applyNumberFormat="1" applyFont="1" applyFill="1" applyBorder="1" applyAlignment="1" applyProtection="1">
      <alignment horizontal="centerContinuous"/>
    </xf>
    <xf numFmtId="3" fontId="17" fillId="6" borderId="4" xfId="0" applyNumberFormat="1" applyFont="1" applyFill="1" applyBorder="1" applyAlignment="1" applyProtection="1">
      <alignment horizontal="centerContinuous"/>
    </xf>
    <xf numFmtId="1" fontId="23" fillId="2" borderId="16" xfId="0" applyNumberFormat="1" applyFont="1" applyFill="1" applyBorder="1" applyAlignment="1" applyProtection="1">
      <alignment horizontal="center" vertical="center"/>
      <protection locked="0"/>
    </xf>
    <xf numFmtId="0" fontId="0" fillId="0" borderId="23" xfId="0" applyBorder="1" applyAlignment="1">
      <alignment vertical="center"/>
    </xf>
    <xf numFmtId="0" fontId="39" fillId="5" borderId="11" xfId="0" applyFont="1" applyFill="1" applyBorder="1" applyAlignment="1">
      <alignment horizontal="left"/>
    </xf>
    <xf numFmtId="0" fontId="39" fillId="5" borderId="9" xfId="0" applyFont="1" applyFill="1" applyBorder="1" applyAlignment="1">
      <alignment horizontal="left"/>
    </xf>
    <xf numFmtId="0" fontId="39" fillId="5" borderId="3" xfId="0" applyFont="1" applyFill="1" applyBorder="1" applyAlignment="1">
      <alignment horizontal="left"/>
    </xf>
    <xf numFmtId="0" fontId="3" fillId="0" borderId="7" xfId="0" applyFont="1" applyBorder="1" applyAlignment="1">
      <alignment horizontal="left"/>
    </xf>
    <xf numFmtId="0" fontId="3" fillId="0" borderId="0" xfId="0" applyFont="1" applyBorder="1" applyAlignment="1">
      <alignment horizontal="centerContinuous"/>
    </xf>
    <xf numFmtId="0" fontId="3" fillId="0" borderId="0" xfId="0" applyFont="1" applyBorder="1" applyAlignment="1"/>
    <xf numFmtId="0" fontId="3" fillId="0" borderId="4" xfId="0" applyFont="1" applyBorder="1" applyAlignment="1">
      <alignment horizontal="centerContinuous"/>
    </xf>
    <xf numFmtId="0" fontId="3" fillId="0" borderId="0" xfId="0" applyFont="1" applyBorder="1" applyAlignment="1">
      <alignment horizontal="left"/>
    </xf>
    <xf numFmtId="0" fontId="3" fillId="0" borderId="4" xfId="0" applyFont="1" applyBorder="1" applyAlignment="1"/>
    <xf numFmtId="0" fontId="3" fillId="0" borderId="7" xfId="0" applyFont="1" applyBorder="1" applyAlignment="1"/>
    <xf numFmtId="0" fontId="4" fillId="0" borderId="0" xfId="0" applyFont="1" applyBorder="1" applyAlignment="1"/>
    <xf numFmtId="0" fontId="39" fillId="5" borderId="7" xfId="0" applyFont="1" applyFill="1" applyBorder="1" applyAlignment="1">
      <alignment horizontal="left"/>
    </xf>
    <xf numFmtId="0" fontId="0" fillId="5" borderId="0" xfId="0" applyFill="1" applyBorder="1" applyAlignment="1"/>
    <xf numFmtId="0" fontId="0" fillId="5" borderId="0" xfId="0" applyFill="1" applyBorder="1" applyAlignment="1">
      <alignment horizontal="center"/>
    </xf>
    <xf numFmtId="0" fontId="0" fillId="5" borderId="4" xfId="0" applyFill="1" applyBorder="1" applyAlignment="1">
      <alignment horizontal="center"/>
    </xf>
    <xf numFmtId="0" fontId="3" fillId="15" borderId="7" xfId="0" applyFont="1" applyFill="1" applyBorder="1" applyAlignment="1"/>
    <xf numFmtId="0" fontId="3" fillId="15" borderId="0" xfId="0" applyFont="1" applyFill="1" applyBorder="1" applyAlignment="1"/>
    <xf numFmtId="0" fontId="3" fillId="15" borderId="8" xfId="0" applyFont="1" applyFill="1" applyBorder="1" applyAlignment="1"/>
    <xf numFmtId="0" fontId="3" fillId="15" borderId="20" xfId="0" applyFont="1" applyFill="1" applyBorder="1" applyAlignment="1"/>
    <xf numFmtId="0" fontId="6" fillId="0" borderId="0" xfId="0" applyFont="1" applyAlignment="1">
      <alignment vertical="center"/>
    </xf>
    <xf numFmtId="175" fontId="1" fillId="2" borderId="13" xfId="2" applyNumberFormat="1" applyFont="1" applyFill="1" applyBorder="1" applyAlignment="1" applyProtection="1">
      <alignment horizontal="right" vertical="center"/>
      <protection locked="0"/>
    </xf>
    <xf numFmtId="9" fontId="1" fillId="2" borderId="13" xfId="2" applyFont="1" applyFill="1" applyBorder="1" applyAlignment="1" applyProtection="1">
      <alignment horizontal="right" vertical="center"/>
      <protection locked="0"/>
    </xf>
    <xf numFmtId="0" fontId="53" fillId="6" borderId="0" xfId="0" applyFont="1" applyFill="1" applyBorder="1" applyAlignment="1"/>
    <xf numFmtId="0" fontId="53" fillId="0" borderId="0" xfId="0" applyFont="1" applyAlignment="1" applyProtection="1"/>
    <xf numFmtId="0" fontId="23" fillId="0" borderId="20" xfId="0" applyFont="1" applyBorder="1" applyAlignment="1" applyProtection="1">
      <alignment horizontal="right"/>
    </xf>
    <xf numFmtId="167" fontId="23" fillId="11" borderId="2" xfId="2" applyNumberFormat="1" applyFont="1" applyFill="1" applyBorder="1" applyAlignment="1" applyProtection="1">
      <alignment horizontal="right"/>
    </xf>
    <xf numFmtId="167" fontId="23" fillId="11" borderId="1" xfId="2" applyNumberFormat="1" applyFont="1" applyFill="1" applyBorder="1" applyAlignment="1" applyProtection="1">
      <alignment horizontal="right"/>
    </xf>
    <xf numFmtId="0" fontId="23" fillId="0" borderId="16" xfId="0" applyFont="1" applyBorder="1" applyAlignment="1" applyProtection="1">
      <alignment horizontal="right"/>
    </xf>
    <xf numFmtId="0" fontId="6" fillId="6" borderId="11" xfId="0" applyFont="1" applyFill="1" applyBorder="1" applyAlignment="1" applyProtection="1"/>
    <xf numFmtId="0" fontId="6" fillId="6" borderId="9" xfId="0" applyFont="1" applyFill="1" applyBorder="1" applyAlignment="1" applyProtection="1"/>
    <xf numFmtId="0" fontId="6" fillId="6" borderId="10" xfId="0" applyFont="1" applyFill="1" applyBorder="1" applyAlignment="1" applyProtection="1"/>
    <xf numFmtId="0" fontId="23" fillId="10" borderId="46" xfId="0" applyFont="1" applyFill="1" applyBorder="1" applyAlignment="1" applyProtection="1"/>
    <xf numFmtId="166" fontId="23" fillId="2" borderId="15" xfId="0" applyNumberFormat="1" applyFont="1" applyFill="1" applyBorder="1" applyAlignment="1" applyProtection="1">
      <alignment horizontal="center" vertical="center"/>
      <protection locked="0"/>
    </xf>
    <xf numFmtId="0" fontId="51" fillId="0" borderId="0" xfId="0" applyFont="1" applyAlignment="1">
      <alignment vertical="center"/>
    </xf>
    <xf numFmtId="0" fontId="48" fillId="0" borderId="13" xfId="0" applyFont="1" applyFill="1" applyBorder="1" applyAlignment="1">
      <alignment horizontal="center"/>
    </xf>
    <xf numFmtId="177" fontId="1" fillId="6" borderId="33" xfId="0" applyNumberFormat="1" applyFont="1" applyFill="1" applyBorder="1" applyAlignment="1" applyProtection="1">
      <alignment horizontal="right"/>
    </xf>
    <xf numFmtId="171" fontId="1" fillId="6" borderId="27" xfId="0" applyNumberFormat="1" applyFont="1" applyFill="1" applyBorder="1" applyAlignment="1" applyProtection="1">
      <alignment horizontal="left"/>
    </xf>
    <xf numFmtId="173" fontId="15" fillId="6" borderId="17" xfId="0" applyNumberFormat="1" applyFont="1" applyFill="1" applyBorder="1" applyAlignment="1" applyProtection="1">
      <alignment horizontal="left"/>
    </xf>
    <xf numFmtId="178" fontId="15" fillId="6" borderId="23" xfId="0" applyNumberFormat="1" applyFont="1" applyFill="1" applyBorder="1" applyAlignment="1" applyProtection="1">
      <alignment horizontal="right"/>
    </xf>
    <xf numFmtId="0" fontId="2" fillId="0" borderId="0" xfId="0" applyFont="1" applyAlignment="1"/>
    <xf numFmtId="0" fontId="27" fillId="6" borderId="3" xfId="0" applyFont="1" applyFill="1" applyBorder="1" applyAlignment="1" applyProtection="1"/>
    <xf numFmtId="0" fontId="21" fillId="6" borderId="5" xfId="0" applyFont="1" applyFill="1" applyBorder="1" applyAlignment="1" applyProtection="1">
      <alignment horizontal="center"/>
    </xf>
    <xf numFmtId="0" fontId="10" fillId="7" borderId="25" xfId="0" applyFont="1" applyFill="1" applyBorder="1" applyAlignment="1" applyProtection="1">
      <alignment horizontal="center"/>
      <protection locked="0"/>
    </xf>
    <xf numFmtId="0" fontId="10" fillId="7" borderId="12" xfId="0" applyFont="1" applyFill="1" applyBorder="1" applyAlignment="1" applyProtection="1">
      <alignment horizontal="center"/>
      <protection locked="0"/>
    </xf>
    <xf numFmtId="0" fontId="19" fillId="6" borderId="11" xfId="0" applyFont="1" applyFill="1" applyBorder="1" applyAlignment="1" applyProtection="1"/>
    <xf numFmtId="0" fontId="19" fillId="6" borderId="9" xfId="0" applyFont="1" applyFill="1" applyBorder="1" applyAlignment="1" applyProtection="1"/>
    <xf numFmtId="174" fontId="15" fillId="6" borderId="9" xfId="0" applyNumberFormat="1" applyFont="1" applyFill="1" applyBorder="1" applyAlignment="1" applyProtection="1">
      <alignment horizontal="right"/>
    </xf>
    <xf numFmtId="176" fontId="15" fillId="6" borderId="10" xfId="0" applyNumberFormat="1" applyFont="1" applyFill="1" applyBorder="1" applyAlignment="1" applyProtection="1">
      <alignment horizontal="left"/>
    </xf>
    <xf numFmtId="0" fontId="17" fillId="6" borderId="10" xfId="0" applyFont="1" applyFill="1" applyBorder="1" applyAlignment="1" applyProtection="1">
      <alignment horizontal="center"/>
    </xf>
    <xf numFmtId="1" fontId="17" fillId="6" borderId="10" xfId="0" applyNumberFormat="1" applyFont="1" applyFill="1" applyBorder="1" applyAlignment="1" applyProtection="1">
      <alignment horizontal="center"/>
    </xf>
    <xf numFmtId="1" fontId="17" fillId="6" borderId="9" xfId="0" applyNumberFormat="1" applyFont="1" applyFill="1" applyBorder="1" applyAlignment="1" applyProtection="1">
      <alignment horizontal="centerContinuous"/>
    </xf>
    <xf numFmtId="1" fontId="17" fillId="6" borderId="3" xfId="0" applyNumberFormat="1" applyFont="1" applyFill="1" applyBorder="1" applyAlignment="1" applyProtection="1">
      <alignment horizontal="centerContinuous"/>
    </xf>
    <xf numFmtId="0" fontId="19" fillId="6" borderId="7" xfId="0" applyFont="1" applyFill="1" applyBorder="1" applyAlignment="1" applyProtection="1"/>
    <xf numFmtId="0" fontId="19" fillId="6" borderId="0" xfId="0" applyFont="1" applyFill="1" applyBorder="1" applyAlignment="1" applyProtection="1"/>
    <xf numFmtId="0" fontId="19" fillId="6" borderId="21" xfId="0" applyFont="1" applyFill="1" applyBorder="1" applyAlignment="1" applyProtection="1"/>
    <xf numFmtId="1" fontId="2" fillId="6" borderId="21" xfId="0" applyNumberFormat="1" applyFont="1" applyFill="1" applyBorder="1" applyAlignment="1" applyProtection="1">
      <alignment horizontal="center"/>
    </xf>
    <xf numFmtId="1" fontId="17" fillId="6" borderId="0" xfId="0" applyNumberFormat="1" applyFont="1" applyFill="1" applyBorder="1" applyAlignment="1" applyProtection="1">
      <alignment horizontal="centerContinuous"/>
    </xf>
    <xf numFmtId="1" fontId="17" fillId="6" borderId="4" xfId="0" applyNumberFormat="1" applyFont="1" applyFill="1" applyBorder="1" applyAlignment="1" applyProtection="1">
      <alignment horizontal="centerContinuous"/>
    </xf>
    <xf numFmtId="0" fontId="28" fillId="6" borderId="23" xfId="0" applyFont="1" applyFill="1" applyBorder="1" applyAlignment="1" applyProtection="1"/>
    <xf numFmtId="0" fontId="28" fillId="6" borderId="17" xfId="0" applyFont="1" applyFill="1" applyBorder="1" applyAlignment="1" applyProtection="1">
      <alignment horizontal="right"/>
    </xf>
    <xf numFmtId="0" fontId="22" fillId="6" borderId="17" xfId="0" applyFont="1" applyFill="1" applyBorder="1" applyAlignment="1" applyProtection="1">
      <alignment horizontal="center"/>
    </xf>
    <xf numFmtId="1" fontId="22" fillId="6" borderId="17" xfId="0" applyNumberFormat="1" applyFont="1" applyFill="1" applyBorder="1" applyAlignment="1" applyProtection="1">
      <alignment horizontal="center"/>
    </xf>
    <xf numFmtId="1" fontId="22" fillId="6" borderId="23" xfId="0" applyNumberFormat="1" applyFont="1" applyFill="1" applyBorder="1" applyAlignment="1" applyProtection="1">
      <alignment horizontal="centerContinuous"/>
    </xf>
    <xf numFmtId="0" fontId="22" fillId="6" borderId="19" xfId="0" applyFont="1" applyFill="1" applyBorder="1" applyAlignment="1" applyProtection="1">
      <alignment horizontal="centerContinuous"/>
    </xf>
    <xf numFmtId="1" fontId="17" fillId="6" borderId="0" xfId="0" applyNumberFormat="1" applyFont="1" applyFill="1" applyBorder="1" applyAlignment="1" applyProtection="1">
      <alignment horizontal="center"/>
    </xf>
    <xf numFmtId="1" fontId="2" fillId="6" borderId="2" xfId="0" applyNumberFormat="1" applyFont="1" applyFill="1" applyBorder="1" applyAlignment="1" applyProtection="1">
      <alignment horizontal="center"/>
    </xf>
    <xf numFmtId="166" fontId="17" fillId="6" borderId="4" xfId="0" applyNumberFormat="1" applyFont="1" applyFill="1" applyBorder="1" applyAlignment="1" applyProtection="1">
      <alignment horizontal="centerContinuous"/>
    </xf>
    <xf numFmtId="1" fontId="2" fillId="6" borderId="1" xfId="0" applyNumberFormat="1" applyFont="1" applyFill="1" applyBorder="1" applyAlignment="1" applyProtection="1">
      <alignment horizontal="center"/>
    </xf>
    <xf numFmtId="1" fontId="28" fillId="6" borderId="0" xfId="0" applyNumberFormat="1" applyFont="1" applyFill="1" applyBorder="1" applyAlignment="1" applyProtection="1"/>
    <xf numFmtId="1" fontId="28" fillId="6" borderId="21" xfId="0" applyNumberFormat="1" applyFont="1" applyFill="1" applyBorder="1" applyAlignment="1" applyProtection="1"/>
    <xf numFmtId="0" fontId="22" fillId="6" borderId="21" xfId="0" applyFont="1" applyFill="1" applyBorder="1" applyAlignment="1" applyProtection="1">
      <alignment horizontal="center"/>
    </xf>
    <xf numFmtId="1" fontId="22" fillId="6" borderId="0" xfId="0" applyNumberFormat="1" applyFont="1" applyFill="1" applyBorder="1" applyAlignment="1" applyProtection="1">
      <alignment horizontal="center"/>
    </xf>
    <xf numFmtId="1" fontId="21" fillId="6" borderId="1" xfId="0" applyNumberFormat="1" applyFont="1" applyFill="1" applyBorder="1" applyAlignment="1" applyProtection="1">
      <alignment horizontal="center"/>
    </xf>
    <xf numFmtId="1" fontId="22" fillId="6" borderId="0" xfId="0" applyNumberFormat="1" applyFont="1" applyFill="1" applyBorder="1" applyAlignment="1" applyProtection="1">
      <alignment horizontal="centerContinuous"/>
    </xf>
    <xf numFmtId="1" fontId="22" fillId="6" borderId="4" xfId="0" applyNumberFormat="1" applyFont="1" applyFill="1" applyBorder="1" applyAlignment="1" applyProtection="1">
      <alignment horizontal="centerContinuous"/>
    </xf>
    <xf numFmtId="0" fontId="19" fillId="6" borderId="6" xfId="0" applyFont="1" applyFill="1" applyBorder="1" applyAlignment="1" applyProtection="1"/>
    <xf numFmtId="0" fontId="19" fillId="6" borderId="23" xfId="0" applyFont="1" applyFill="1" applyBorder="1" applyAlignment="1" applyProtection="1"/>
    <xf numFmtId="0" fontId="19" fillId="6" borderId="17" xfId="0" applyFont="1" applyFill="1" applyBorder="1" applyAlignment="1" applyProtection="1"/>
    <xf numFmtId="2" fontId="17" fillId="6" borderId="23" xfId="0" applyNumberFormat="1" applyFont="1" applyFill="1" applyBorder="1" applyAlignment="1" applyProtection="1">
      <alignment horizontal="center"/>
    </xf>
    <xf numFmtId="2" fontId="2" fillId="6" borderId="18" xfId="0" applyNumberFormat="1" applyFont="1" applyFill="1" applyBorder="1" applyAlignment="1" applyProtection="1">
      <alignment horizontal="center"/>
    </xf>
    <xf numFmtId="2" fontId="17" fillId="6" borderId="23" xfId="0" applyNumberFormat="1" applyFont="1" applyFill="1" applyBorder="1" applyAlignment="1" applyProtection="1">
      <alignment horizontal="centerContinuous"/>
    </xf>
    <xf numFmtId="2" fontId="17" fillId="6" borderId="19" xfId="0" applyNumberFormat="1" applyFont="1" applyFill="1" applyBorder="1" applyAlignment="1" applyProtection="1">
      <alignment horizontal="centerContinuous"/>
    </xf>
    <xf numFmtId="1" fontId="17" fillId="6" borderId="23" xfId="0" applyNumberFormat="1" applyFont="1" applyFill="1" applyBorder="1" applyAlignment="1" applyProtection="1">
      <alignment horizontal="center"/>
    </xf>
    <xf numFmtId="1" fontId="17" fillId="6" borderId="18" xfId="0" applyNumberFormat="1" applyFont="1" applyFill="1" applyBorder="1" applyAlignment="1" applyProtection="1">
      <alignment horizontal="center"/>
    </xf>
    <xf numFmtId="1" fontId="17" fillId="6" borderId="23" xfId="0" applyNumberFormat="1" applyFont="1" applyFill="1" applyBorder="1" applyAlignment="1" applyProtection="1">
      <alignment horizontal="centerContinuous"/>
    </xf>
    <xf numFmtId="0" fontId="17" fillId="6" borderId="19" xfId="0" applyFont="1" applyFill="1" applyBorder="1" applyAlignment="1" applyProtection="1">
      <alignment horizontal="centerContinuous"/>
    </xf>
    <xf numFmtId="0" fontId="22" fillId="6" borderId="26" xfId="0" applyFont="1" applyFill="1" applyBorder="1" applyAlignment="1" applyProtection="1"/>
    <xf numFmtId="0" fontId="22" fillId="6" borderId="33" xfId="0" applyFont="1" applyFill="1" applyBorder="1" applyAlignment="1" applyProtection="1"/>
    <xf numFmtId="0" fontId="22" fillId="6" borderId="27" xfId="0" applyFont="1" applyFill="1" applyBorder="1" applyAlignment="1" applyProtection="1">
      <alignment horizontal="center"/>
    </xf>
    <xf numFmtId="1" fontId="22" fillId="6" borderId="27" xfId="0" applyNumberFormat="1" applyFont="1" applyFill="1" applyBorder="1" applyAlignment="1" applyProtection="1">
      <alignment horizontal="center"/>
    </xf>
    <xf numFmtId="1" fontId="22" fillId="6" borderId="33" xfId="0" applyNumberFormat="1" applyFont="1" applyFill="1" applyBorder="1" applyAlignment="1" applyProtection="1">
      <alignment horizontal="center"/>
    </xf>
    <xf numFmtId="1" fontId="22" fillId="6" borderId="13" xfId="0" applyNumberFormat="1" applyFont="1" applyFill="1" applyBorder="1" applyAlignment="1" applyProtection="1">
      <alignment horizontal="centerContinuous"/>
    </xf>
    <xf numFmtId="1" fontId="22" fillId="6" borderId="33" xfId="0" applyNumberFormat="1" applyFont="1" applyFill="1" applyBorder="1" applyAlignment="1" applyProtection="1">
      <alignment horizontal="centerContinuous"/>
    </xf>
    <xf numFmtId="0" fontId="22" fillId="6" borderId="28" xfId="0" applyFont="1" applyFill="1" applyBorder="1" applyAlignment="1" applyProtection="1">
      <alignment horizontal="centerContinuous"/>
    </xf>
    <xf numFmtId="0" fontId="18" fillId="4" borderId="26" xfId="0" applyFont="1" applyFill="1" applyBorder="1" applyAlignment="1" applyProtection="1"/>
    <xf numFmtId="0" fontId="18" fillId="4" borderId="33" xfId="0" applyFont="1" applyFill="1" applyBorder="1" applyAlignment="1" applyProtection="1"/>
    <xf numFmtId="0" fontId="9" fillId="4" borderId="27" xfId="0" applyFont="1" applyFill="1" applyBorder="1" applyAlignment="1" applyProtection="1">
      <alignment horizontal="right"/>
    </xf>
    <xf numFmtId="0" fontId="18" fillId="4" borderId="27" xfId="0" applyFont="1" applyFill="1" applyBorder="1" applyAlignment="1" applyProtection="1">
      <alignment horizontal="center"/>
    </xf>
    <xf numFmtId="170" fontId="18" fillId="4" borderId="27" xfId="0" applyNumberFormat="1" applyFont="1" applyFill="1" applyBorder="1" applyAlignment="1" applyProtection="1">
      <alignment horizontal="center"/>
    </xf>
    <xf numFmtId="170" fontId="18" fillId="4" borderId="33" xfId="0" applyNumberFormat="1" applyFont="1" applyFill="1" applyBorder="1" applyAlignment="1" applyProtection="1">
      <alignment horizontal="centerContinuous"/>
    </xf>
    <xf numFmtId="1" fontId="18" fillId="4" borderId="28" xfId="0" applyNumberFormat="1" applyFont="1" applyFill="1" applyBorder="1" applyAlignment="1" applyProtection="1">
      <alignment horizontal="centerContinuous"/>
    </xf>
    <xf numFmtId="0" fontId="18" fillId="4" borderId="6" xfId="0" applyFont="1" applyFill="1" applyBorder="1" applyAlignment="1" applyProtection="1"/>
    <xf numFmtId="0" fontId="18" fillId="4" borderId="23" xfId="0" applyFont="1" applyFill="1" applyBorder="1" applyAlignment="1" applyProtection="1"/>
    <xf numFmtId="170" fontId="18" fillId="4" borderId="17" xfId="0" applyNumberFormat="1" applyFont="1" applyFill="1" applyBorder="1" applyAlignment="1" applyProtection="1">
      <alignment horizontal="center"/>
    </xf>
    <xf numFmtId="170" fontId="18" fillId="4" borderId="23" xfId="0" applyNumberFormat="1" applyFont="1" applyFill="1" applyBorder="1" applyAlignment="1" applyProtection="1">
      <alignment horizontal="centerContinuous"/>
    </xf>
    <xf numFmtId="1" fontId="18" fillId="4" borderId="19" xfId="0" applyNumberFormat="1" applyFont="1" applyFill="1" applyBorder="1" applyAlignment="1" applyProtection="1">
      <alignment horizontal="centerContinuous"/>
    </xf>
    <xf numFmtId="0" fontId="9" fillId="4" borderId="21" xfId="0" applyFont="1" applyFill="1" applyBorder="1" applyAlignment="1" applyProtection="1">
      <alignment horizontal="center"/>
    </xf>
    <xf numFmtId="9" fontId="9" fillId="4" borderId="21" xfId="2" applyFont="1" applyFill="1" applyBorder="1" applyAlignment="1" applyProtection="1">
      <alignment horizontal="center"/>
    </xf>
    <xf numFmtId="0" fontId="17" fillId="6" borderId="26" xfId="0" applyFont="1" applyFill="1" applyBorder="1" applyAlignment="1" applyProtection="1"/>
    <xf numFmtId="0" fontId="17" fillId="6" borderId="33" xfId="0" applyFont="1" applyFill="1" applyBorder="1" applyAlignment="1" applyProtection="1"/>
    <xf numFmtId="0" fontId="17" fillId="6" borderId="7" xfId="0" applyFont="1" applyFill="1" applyBorder="1" applyAlignment="1" applyProtection="1"/>
    <xf numFmtId="0" fontId="17" fillId="6" borderId="0" xfId="0" applyFont="1" applyFill="1" applyBorder="1" applyAlignment="1" applyProtection="1"/>
    <xf numFmtId="0" fontId="17" fillId="6" borderId="6" xfId="0" applyFont="1" applyFill="1" applyBorder="1" applyAlignment="1" applyProtection="1"/>
    <xf numFmtId="0" fontId="17" fillId="6" borderId="23" xfId="0" applyFont="1" applyFill="1" applyBorder="1" applyAlignment="1" applyProtection="1"/>
    <xf numFmtId="0" fontId="17" fillId="6" borderId="17" xfId="0" applyFont="1" applyFill="1" applyBorder="1" applyAlignment="1" applyProtection="1"/>
    <xf numFmtId="0" fontId="18" fillId="4" borderId="7" xfId="0" applyFont="1" applyFill="1" applyBorder="1" applyAlignment="1" applyProtection="1"/>
    <xf numFmtId="0" fontId="18" fillId="4" borderId="0" xfId="0" applyFont="1" applyFill="1" applyBorder="1" applyAlignment="1" applyProtection="1"/>
    <xf numFmtId="0" fontId="18" fillId="4" borderId="17" xfId="0" applyFont="1" applyFill="1" applyBorder="1" applyAlignment="1" applyProtection="1"/>
    <xf numFmtId="0" fontId="2" fillId="6" borderId="7" xfId="0" applyFont="1" applyFill="1" applyBorder="1" applyAlignment="1"/>
    <xf numFmtId="0" fontId="2" fillId="6" borderId="0" xfId="0" applyFont="1" applyFill="1" applyBorder="1" applyAlignment="1"/>
    <xf numFmtId="0" fontId="0" fillId="6" borderId="0" xfId="0" applyFill="1" applyBorder="1" applyAlignment="1"/>
    <xf numFmtId="0" fontId="2" fillId="6" borderId="8" xfId="0" applyFont="1" applyFill="1" applyBorder="1" applyAlignment="1"/>
    <xf numFmtId="0" fontId="2" fillId="6" borderId="20" xfId="0" applyFont="1" applyFill="1" applyBorder="1" applyAlignment="1"/>
    <xf numFmtId="0" fontId="18" fillId="6" borderId="20" xfId="0" applyFont="1" applyFill="1" applyBorder="1" applyAlignment="1" applyProtection="1"/>
    <xf numFmtId="0" fontId="15" fillId="0" borderId="0" xfId="0" applyFont="1" applyAlignment="1" applyProtection="1"/>
    <xf numFmtId="0" fontId="18" fillId="0" borderId="0" xfId="0" applyFont="1" applyAlignment="1" applyProtection="1"/>
    <xf numFmtId="0" fontId="0" fillId="0" borderId="0" xfId="0" applyAlignment="1"/>
    <xf numFmtId="0" fontId="25" fillId="0" borderId="0" xfId="0" applyFont="1" applyAlignment="1" applyProtection="1"/>
    <xf numFmtId="0" fontId="0" fillId="0" borderId="0" xfId="0" applyAlignment="1" applyProtection="1"/>
    <xf numFmtId="0" fontId="30" fillId="0" borderId="0" xfId="0" applyFont="1" applyAlignment="1" applyProtection="1">
      <alignment horizontal="right"/>
    </xf>
    <xf numFmtId="166" fontId="21" fillId="0" borderId="0" xfId="0" applyNumberFormat="1" applyFont="1" applyAlignment="1" applyProtection="1">
      <alignment horizontal="right"/>
    </xf>
    <xf numFmtId="3" fontId="0" fillId="0" borderId="0" xfId="0" applyNumberFormat="1" applyAlignment="1" applyProtection="1"/>
    <xf numFmtId="0" fontId="29" fillId="0" borderId="0" xfId="0" applyFont="1" applyAlignment="1" applyProtection="1"/>
    <xf numFmtId="168" fontId="29" fillId="0" borderId="0" xfId="0" applyNumberFormat="1" applyFont="1" applyAlignment="1" applyProtection="1"/>
    <xf numFmtId="0" fontId="9" fillId="6" borderId="1" xfId="0" applyFont="1" applyFill="1" applyBorder="1" applyAlignment="1" applyProtection="1">
      <alignment horizontal="center"/>
    </xf>
    <xf numFmtId="4" fontId="9" fillId="6" borderId="21" xfId="0" applyNumberFormat="1" applyFont="1" applyFill="1" applyBorder="1" applyAlignment="1" applyProtection="1">
      <alignment horizontal="center"/>
    </xf>
    <xf numFmtId="0" fontId="9" fillId="6" borderId="16" xfId="0" applyFont="1" applyFill="1" applyBorder="1" applyAlignment="1" applyProtection="1">
      <alignment horizontal="center"/>
    </xf>
    <xf numFmtId="4" fontId="9" fillId="6" borderId="12" xfId="0" applyNumberFormat="1" applyFont="1" applyFill="1" applyBorder="1" applyAlignment="1" applyProtection="1">
      <alignment horizontal="center"/>
    </xf>
    <xf numFmtId="0" fontId="21" fillId="6" borderId="7" xfId="0" applyFont="1" applyFill="1" applyBorder="1" applyAlignment="1"/>
    <xf numFmtId="1" fontId="22" fillId="6" borderId="7" xfId="0" applyNumberFormat="1" applyFont="1" applyFill="1" applyBorder="1" applyAlignment="1" applyProtection="1"/>
    <xf numFmtId="0" fontId="22" fillId="6" borderId="6" xfId="0" applyFont="1" applyFill="1" applyBorder="1" applyAlignment="1" applyProtection="1"/>
    <xf numFmtId="0" fontId="22" fillId="6" borderId="0" xfId="0" applyFont="1" applyFill="1" applyBorder="1" applyAlignment="1" applyProtection="1">
      <alignment horizontal="left" wrapText="1"/>
    </xf>
    <xf numFmtId="0" fontId="22" fillId="6" borderId="1" xfId="0" applyFont="1" applyFill="1" applyBorder="1" applyAlignment="1" applyProtection="1">
      <alignment horizontal="center"/>
    </xf>
    <xf numFmtId="4" fontId="22" fillId="6" borderId="21" xfId="0" applyNumberFormat="1" applyFont="1" applyFill="1" applyBorder="1" applyAlignment="1" applyProtection="1">
      <alignment horizontal="center"/>
    </xf>
    <xf numFmtId="4" fontId="21" fillId="6" borderId="21" xfId="0" applyNumberFormat="1" applyFont="1" applyFill="1" applyBorder="1" applyAlignment="1" applyProtection="1">
      <alignment horizontal="center"/>
    </xf>
    <xf numFmtId="167" fontId="18" fillId="4" borderId="18" xfId="2" applyNumberFormat="1" applyFont="1" applyFill="1" applyBorder="1" applyAlignment="1" applyProtection="1">
      <alignment horizontal="center"/>
    </xf>
    <xf numFmtId="167" fontId="18" fillId="4" borderId="17" xfId="2" applyNumberFormat="1" applyFont="1" applyFill="1" applyBorder="1" applyAlignment="1" applyProtection="1">
      <alignment horizontal="center"/>
    </xf>
    <xf numFmtId="0" fontId="1" fillId="6" borderId="11" xfId="0" applyFont="1" applyFill="1" applyBorder="1" applyAlignment="1" applyProtection="1">
      <alignment vertical="center"/>
    </xf>
    <xf numFmtId="0" fontId="15" fillId="6" borderId="7" xfId="0" applyFont="1" applyFill="1" applyBorder="1" applyAlignment="1" applyProtection="1">
      <alignment horizontal="left" vertical="center"/>
    </xf>
    <xf numFmtId="166" fontId="23" fillId="11" borderId="1" xfId="0" applyNumberFormat="1" applyFont="1" applyFill="1" applyBorder="1" applyAlignment="1" applyProtection="1">
      <alignment horizontal="center" vertical="center"/>
      <protection locked="0"/>
    </xf>
    <xf numFmtId="166" fontId="28" fillId="11" borderId="15" xfId="0" applyNumberFormat="1" applyFont="1" applyFill="1" applyBorder="1" applyAlignment="1" applyProtection="1">
      <alignment horizontal="center" vertical="center"/>
      <protection locked="0"/>
    </xf>
    <xf numFmtId="0" fontId="33" fillId="16" borderId="31" xfId="0" applyFont="1" applyFill="1" applyBorder="1" applyAlignment="1" applyProtection="1">
      <alignment vertical="center" wrapText="1"/>
    </xf>
    <xf numFmtId="0" fontId="51" fillId="10" borderId="0" xfId="0" applyFont="1" applyFill="1"/>
    <xf numFmtId="179" fontId="2" fillId="0" borderId="0" xfId="0" applyNumberFormat="1" applyFont="1" applyFill="1" applyBorder="1" applyAlignment="1">
      <alignment horizontal="right" vertical="center"/>
    </xf>
    <xf numFmtId="179" fontId="2" fillId="0" borderId="0" xfId="0" applyNumberFormat="1" applyFont="1" applyBorder="1" applyAlignment="1">
      <alignment horizontal="right" vertical="center"/>
    </xf>
    <xf numFmtId="179" fontId="2" fillId="0" borderId="0" xfId="0" applyNumberFormat="1" applyFont="1" applyBorder="1" applyAlignment="1">
      <alignment vertical="center"/>
    </xf>
    <xf numFmtId="179" fontId="2" fillId="0" borderId="23" xfId="0" applyNumberFormat="1" applyFont="1" applyBorder="1" applyAlignment="1">
      <alignment horizontal="right" vertical="center"/>
    </xf>
    <xf numFmtId="0" fontId="15" fillId="17" borderId="13" xfId="0" applyFont="1" applyFill="1" applyBorder="1" applyAlignment="1" applyProtection="1">
      <alignment horizontal="center" vertical="center"/>
      <protection locked="0"/>
    </xf>
    <xf numFmtId="0" fontId="38" fillId="15" borderId="9" xfId="0" applyFont="1" applyFill="1" applyBorder="1" applyAlignment="1" applyProtection="1">
      <alignment horizontal="center" vertical="top" wrapText="1"/>
    </xf>
    <xf numFmtId="0" fontId="3" fillId="0" borderId="7" xfId="0" applyFont="1" applyBorder="1" applyAlignment="1">
      <alignment horizontal="left" wrapText="1"/>
    </xf>
    <xf numFmtId="0" fontId="3" fillId="0" borderId="0" xfId="0" applyFont="1" applyBorder="1" applyAlignment="1">
      <alignment horizontal="left" wrapText="1"/>
    </xf>
    <xf numFmtId="0" fontId="3" fillId="0" borderId="4" xfId="0" applyFont="1" applyBorder="1" applyAlignment="1">
      <alignment horizontal="left" wrapText="1"/>
    </xf>
    <xf numFmtId="0" fontId="5" fillId="0" borderId="0" xfId="0" applyFont="1" applyFill="1" applyAlignment="1">
      <alignment horizontal="left" vertical="center" wrapText="1"/>
    </xf>
    <xf numFmtId="0" fontId="2" fillId="15" borderId="8" xfId="0" applyFont="1" applyFill="1" applyBorder="1" applyAlignment="1" applyProtection="1">
      <alignment horizontal="left" wrapText="1"/>
    </xf>
    <xf numFmtId="0" fontId="2" fillId="15" borderId="20" xfId="0" applyFont="1" applyFill="1" applyBorder="1" applyAlignment="1" applyProtection="1">
      <alignment horizontal="left" wrapText="1"/>
    </xf>
    <xf numFmtId="0" fontId="41" fillId="3" borderId="0" xfId="1" applyFont="1" applyFill="1" applyBorder="1" applyAlignment="1" applyProtection="1">
      <alignment horizontal="left"/>
    </xf>
    <xf numFmtId="0" fontId="41" fillId="3" borderId="4" xfId="1" applyFont="1" applyFill="1" applyBorder="1" applyAlignment="1" applyProtection="1">
      <alignment horizontal="left"/>
    </xf>
    <xf numFmtId="0" fontId="41" fillId="3" borderId="20" xfId="1" applyFont="1" applyFill="1" applyBorder="1" applyAlignment="1" applyProtection="1">
      <alignment horizontal="left"/>
    </xf>
    <xf numFmtId="0" fontId="41" fillId="3" borderId="5" xfId="1" applyFont="1" applyFill="1" applyBorder="1" applyAlignment="1" applyProtection="1">
      <alignment horizontal="left"/>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2" fillId="8" borderId="30" xfId="0" applyFont="1" applyFill="1" applyBorder="1" applyAlignment="1" applyProtection="1">
      <alignment horizontal="left" vertical="center"/>
    </xf>
    <xf numFmtId="0" fontId="12" fillId="8" borderId="31" xfId="0" applyFont="1" applyFill="1" applyBorder="1" applyAlignment="1" applyProtection="1">
      <alignment horizontal="left" vertical="center"/>
    </xf>
    <xf numFmtId="0" fontId="12" fillId="8" borderId="32" xfId="0" applyFont="1" applyFill="1" applyBorder="1" applyAlignment="1" applyProtection="1">
      <alignment horizontal="left" vertical="center"/>
    </xf>
    <xf numFmtId="0" fontId="40" fillId="0" borderId="0" xfId="0" applyFont="1" applyAlignment="1">
      <alignment horizontal="left" vertical="top" wrapText="1"/>
    </xf>
    <xf numFmtId="14" fontId="21" fillId="2" borderId="30" xfId="0" applyNumberFormat="1" applyFont="1" applyFill="1" applyBorder="1" applyAlignment="1" applyProtection="1">
      <alignment horizontal="center" vertical="center"/>
      <protection locked="0"/>
    </xf>
    <xf numFmtId="14" fontId="21" fillId="2" borderId="32" xfId="0" applyNumberFormat="1" applyFont="1" applyFill="1" applyBorder="1" applyAlignment="1" applyProtection="1">
      <alignment horizontal="center" vertical="center"/>
      <protection locked="0"/>
    </xf>
    <xf numFmtId="0" fontId="12" fillId="16" borderId="30" xfId="0" applyFont="1" applyFill="1" applyBorder="1" applyAlignment="1" applyProtection="1">
      <alignment horizontal="center" vertical="center"/>
    </xf>
    <xf numFmtId="0" fontId="12" fillId="16" borderId="31" xfId="0" applyFont="1" applyFill="1" applyBorder="1" applyAlignment="1" applyProtection="1">
      <alignment horizontal="center" vertical="center"/>
    </xf>
    <xf numFmtId="0" fontId="23" fillId="10" borderId="40" xfId="0" applyFont="1" applyFill="1" applyBorder="1" applyAlignment="1" applyProtection="1">
      <alignment horizontal="center"/>
    </xf>
    <xf numFmtId="0" fontId="23" fillId="10" borderId="22" xfId="0" applyFont="1" applyFill="1" applyBorder="1" applyAlignment="1" applyProtection="1">
      <alignment horizontal="center"/>
    </xf>
    <xf numFmtId="0" fontId="50" fillId="12" borderId="30" xfId="0" applyFont="1" applyFill="1" applyBorder="1" applyAlignment="1" applyProtection="1">
      <alignment horizontal="center" vertical="top" wrapText="1"/>
    </xf>
    <xf numFmtId="0" fontId="50" fillId="12" borderId="31" xfId="0" applyFont="1" applyFill="1" applyBorder="1" applyAlignment="1" applyProtection="1">
      <alignment horizontal="center" vertical="top" wrapText="1"/>
    </xf>
    <xf numFmtId="0" fontId="50" fillId="12" borderId="32" xfId="0" applyFont="1" applyFill="1" applyBorder="1" applyAlignment="1" applyProtection="1">
      <alignment horizontal="center" vertical="top" wrapText="1"/>
    </xf>
    <xf numFmtId="0" fontId="16" fillId="16" borderId="30" xfId="0" applyFont="1" applyFill="1" applyBorder="1" applyAlignment="1" applyProtection="1">
      <alignment horizontal="left" vertical="center"/>
    </xf>
    <xf numFmtId="0" fontId="16" fillId="16" borderId="31" xfId="0" applyFont="1" applyFill="1" applyBorder="1" applyAlignment="1" applyProtection="1">
      <alignment horizontal="left" vertical="center"/>
    </xf>
    <xf numFmtId="0" fontId="16" fillId="16" borderId="32" xfId="0" applyFont="1" applyFill="1" applyBorder="1" applyAlignment="1" applyProtection="1">
      <alignment horizontal="left" vertical="center"/>
    </xf>
    <xf numFmtId="0" fontId="15" fillId="6" borderId="26" xfId="0" applyFont="1" applyFill="1" applyBorder="1" applyAlignment="1" applyProtection="1">
      <alignment horizontal="left" vertical="center"/>
    </xf>
    <xf numFmtId="0" fontId="15" fillId="6" borderId="27" xfId="0" applyFont="1" applyFill="1" applyBorder="1" applyAlignment="1" applyProtection="1">
      <alignment horizontal="left" vertical="center"/>
    </xf>
    <xf numFmtId="0" fontId="1" fillId="0" borderId="7" xfId="0" applyFont="1" applyBorder="1" applyAlignment="1" applyProtection="1">
      <alignment horizontal="center" vertical="center" textRotation="90"/>
    </xf>
    <xf numFmtId="4" fontId="17" fillId="6" borderId="44" xfId="0" applyNumberFormat="1" applyFont="1" applyFill="1" applyBorder="1" applyAlignment="1" applyProtection="1">
      <alignment horizontal="center"/>
    </xf>
    <xf numFmtId="4" fontId="17" fillId="6" borderId="45" xfId="0" applyNumberFormat="1" applyFont="1" applyFill="1" applyBorder="1" applyAlignment="1" applyProtection="1">
      <alignment horizontal="center"/>
    </xf>
    <xf numFmtId="0" fontId="18" fillId="6" borderId="7" xfId="0" applyFont="1" applyFill="1" applyBorder="1" applyAlignment="1" applyProtection="1">
      <alignment horizontal="left" wrapText="1"/>
    </xf>
    <xf numFmtId="0" fontId="18" fillId="6" borderId="0" xfId="0" applyFont="1" applyFill="1" applyBorder="1" applyAlignment="1" applyProtection="1">
      <alignment horizontal="left" wrapText="1"/>
    </xf>
    <xf numFmtId="0" fontId="18" fillId="6" borderId="21" xfId="0" applyFont="1" applyFill="1" applyBorder="1" applyAlignment="1" applyProtection="1">
      <alignment horizontal="left" wrapText="1"/>
    </xf>
    <xf numFmtId="0" fontId="15" fillId="6" borderId="11" xfId="0" applyFont="1" applyFill="1" applyBorder="1" applyAlignment="1" applyProtection="1">
      <alignment horizontal="left" vertical="center"/>
    </xf>
    <xf numFmtId="0" fontId="15" fillId="6" borderId="10" xfId="0" applyFont="1" applyFill="1" applyBorder="1" applyAlignment="1" applyProtection="1">
      <alignment horizontal="left" vertical="center"/>
    </xf>
    <xf numFmtId="0" fontId="9" fillId="4" borderId="7" xfId="0" applyFont="1" applyFill="1" applyBorder="1" applyAlignment="1" applyProtection="1">
      <alignment horizontal="left"/>
    </xf>
    <xf numFmtId="0" fontId="9" fillId="4" borderId="0" xfId="0" applyFont="1" applyFill="1" applyBorder="1" applyAlignment="1" applyProtection="1">
      <alignment horizontal="left"/>
    </xf>
    <xf numFmtId="0" fontId="9" fillId="4" borderId="21" xfId="0" applyFont="1" applyFill="1" applyBorder="1" applyAlignment="1" applyProtection="1">
      <alignment horizontal="left"/>
    </xf>
    <xf numFmtId="0" fontId="15" fillId="6" borderId="7" xfId="0" applyFont="1" applyFill="1" applyBorder="1" applyAlignment="1" applyProtection="1">
      <alignment horizontal="left" vertical="center"/>
    </xf>
    <xf numFmtId="0" fontId="15" fillId="6" borderId="21" xfId="0" applyFont="1" applyFill="1" applyBorder="1" applyAlignment="1" applyProtection="1">
      <alignment horizontal="left" vertical="center"/>
    </xf>
    <xf numFmtId="0" fontId="10" fillId="6" borderId="9" xfId="0" applyFont="1" applyFill="1" applyBorder="1" applyAlignment="1" applyProtection="1"/>
    <xf numFmtId="0" fontId="10" fillId="6" borderId="3" xfId="0" applyFont="1" applyFill="1" applyBorder="1" applyAlignment="1" applyProtection="1"/>
    <xf numFmtId="4" fontId="9" fillId="6" borderId="24" xfId="0" applyNumberFormat="1" applyFont="1" applyFill="1" applyBorder="1" applyAlignment="1" applyProtection="1">
      <alignment horizontal="center"/>
    </xf>
    <xf numFmtId="4" fontId="9" fillId="6" borderId="4" xfId="0" applyNumberFormat="1" applyFont="1" applyFill="1" applyBorder="1" applyAlignment="1" applyProtection="1">
      <alignment horizontal="center"/>
    </xf>
    <xf numFmtId="4" fontId="9" fillId="6" borderId="37" xfId="0" applyNumberFormat="1" applyFont="1" applyFill="1" applyBorder="1" applyAlignment="1" applyProtection="1">
      <alignment horizontal="center"/>
    </xf>
    <xf numFmtId="4" fontId="9" fillId="6" borderId="5" xfId="0" applyNumberFormat="1" applyFont="1" applyFill="1" applyBorder="1" applyAlignment="1" applyProtection="1">
      <alignment horizontal="center"/>
    </xf>
    <xf numFmtId="0" fontId="10" fillId="7" borderId="37" xfId="0" applyFont="1" applyFill="1" applyBorder="1" applyAlignment="1" applyProtection="1">
      <alignment horizontal="center"/>
      <protection locked="0"/>
    </xf>
    <xf numFmtId="0" fontId="10" fillId="7" borderId="5" xfId="0" applyFont="1" applyFill="1" applyBorder="1" applyAlignment="1" applyProtection="1">
      <alignment horizontal="center"/>
      <protection locked="0"/>
    </xf>
    <xf numFmtId="167" fontId="18" fillId="4" borderId="39" xfId="2" applyNumberFormat="1" applyFont="1" applyFill="1" applyBorder="1" applyAlignment="1" applyProtection="1">
      <alignment horizontal="center"/>
    </xf>
    <xf numFmtId="167" fontId="18" fillId="4" borderId="19" xfId="2" applyNumberFormat="1" applyFont="1" applyFill="1" applyBorder="1" applyAlignment="1" applyProtection="1">
      <alignment horizontal="center"/>
    </xf>
    <xf numFmtId="9" fontId="9" fillId="4" borderId="24" xfId="2" applyFont="1" applyFill="1" applyBorder="1" applyAlignment="1" applyProtection="1">
      <alignment horizontal="center"/>
    </xf>
    <xf numFmtId="9" fontId="9" fillId="4" borderId="4" xfId="2" applyFont="1" applyFill="1" applyBorder="1" applyAlignment="1" applyProtection="1">
      <alignment horizontal="center"/>
    </xf>
    <xf numFmtId="4" fontId="22" fillId="6" borderId="24" xfId="0" applyNumberFormat="1" applyFont="1" applyFill="1" applyBorder="1" applyAlignment="1" applyProtection="1">
      <alignment horizontal="center"/>
    </xf>
    <xf numFmtId="4" fontId="22" fillId="6" borderId="4" xfId="0" applyNumberFormat="1" applyFont="1" applyFill="1" applyBorder="1" applyAlignment="1" applyProtection="1">
      <alignment horizontal="center"/>
    </xf>
    <xf numFmtId="0" fontId="33" fillId="16" borderId="31" xfId="0" applyFont="1" applyFill="1" applyBorder="1" applyAlignment="1" applyProtection="1">
      <alignment horizontal="right" vertical="center"/>
    </xf>
  </cellXfs>
  <cellStyles count="3">
    <cellStyle name="Hyperlink" xfId="1" builtinId="8"/>
    <cellStyle name="Prozent" xfId="2"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CCFF"/>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de-DE" sz="1600" b="1"/>
              <a:t>Wirtschaftlichkeit der Hühnermast beim Basispreis von </a:t>
            </a:r>
          </a:p>
        </c:rich>
      </c:tx>
      <c:layout>
        <c:manualLayout>
          <c:xMode val="edge"/>
          <c:yMode val="edge"/>
          <c:x val="5.4406292387350376E-2"/>
          <c:y val="3.6804966204136494E-2"/>
        </c:manualLayout>
      </c:layout>
      <c:overlay val="0"/>
    </c:title>
    <c:autoTitleDeleted val="0"/>
    <c:plotArea>
      <c:layout>
        <c:manualLayout>
          <c:layoutTarget val="inner"/>
          <c:xMode val="edge"/>
          <c:yMode val="edge"/>
          <c:x val="8.4210565663579207E-2"/>
          <c:y val="0.27490066579450345"/>
          <c:w val="0.82870852118931349"/>
          <c:h val="0.55577743301932214"/>
        </c:manualLayout>
      </c:layout>
      <c:barChart>
        <c:barDir val="col"/>
        <c:grouping val="clustered"/>
        <c:varyColors val="0"/>
        <c:ser>
          <c:idx val="1"/>
          <c:order val="0"/>
          <c:tx>
            <c:v>DB je 100 Plätze und Jahr</c:v>
          </c:tx>
          <c:spPr>
            <a:solidFill>
              <a:srgbClr val="33CCCC"/>
            </a:solidFill>
            <a:ln w="12700">
              <a:solidFill>
                <a:srgbClr val="000000"/>
              </a:solidFill>
              <a:prstDash val="solid"/>
            </a:ln>
          </c:spPr>
          <c:invertIfNegative val="0"/>
          <c:dLbls>
            <c:dLbl>
              <c:idx val="0"/>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dLbl>
            <c:dLbl>
              <c:idx val="1"/>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dLbl>
            <c:dLbl>
              <c:idx val="2"/>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dLbl>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showLeaderLines val="0"/>
          </c:dLbls>
          <c:cat>
            <c:numRef>
              <c:f>Hühnermast!$G$41:$J$41</c:f>
              <c:numCache>
                <c:formatCode>General</c:formatCode>
                <c:ptCount val="4"/>
                <c:pt idx="0">
                  <c:v>3</c:v>
                </c:pt>
                <c:pt idx="1">
                  <c:v>2.5</c:v>
                </c:pt>
                <c:pt idx="2">
                  <c:v>2.25</c:v>
                </c:pt>
              </c:numCache>
            </c:numRef>
          </c:cat>
          <c:val>
            <c:numRef>
              <c:f>Hühnermast!$G$54:$I$54</c:f>
              <c:numCache>
                <c:formatCode>#,##0_ ;[Red]\-#,##0\ </c:formatCode>
                <c:ptCount val="3"/>
                <c:pt idx="0">
                  <c:v>828.05463989959242</c:v>
                </c:pt>
                <c:pt idx="1">
                  <c:v>1224.1231199831084</c:v>
                </c:pt>
                <c:pt idx="2">
                  <c:v>1422.1573600248666</c:v>
                </c:pt>
              </c:numCache>
            </c:numRef>
          </c:val>
        </c:ser>
        <c:dLbls>
          <c:showLegendKey val="0"/>
          <c:showVal val="0"/>
          <c:showCatName val="0"/>
          <c:showSerName val="0"/>
          <c:showPercent val="0"/>
          <c:showBubbleSize val="0"/>
        </c:dLbls>
        <c:gapWidth val="150"/>
        <c:axId val="95910912"/>
        <c:axId val="96314496"/>
      </c:barChart>
      <c:lineChart>
        <c:grouping val="standard"/>
        <c:varyColors val="0"/>
        <c:ser>
          <c:idx val="3"/>
          <c:order val="1"/>
          <c:tx>
            <c:strRef>
              <c:f>Hühnermast!$B$62:$E$62</c:f>
              <c:strCache>
                <c:ptCount val="1"/>
                <c:pt idx="0">
                  <c:v>Kalkulatorisches Betriebszweigergebnis je 100 Plätze und Jahr</c:v>
                </c:pt>
              </c:strCache>
            </c:strRef>
          </c:tx>
          <c:spPr>
            <a:ln w="12700">
              <a:solidFill>
                <a:srgbClr val="0000FF"/>
              </a:solidFill>
              <a:prstDash val="solid"/>
            </a:ln>
          </c:spPr>
          <c:marker>
            <c:symbol val="star"/>
            <c:size val="5"/>
            <c:spPr>
              <a:solidFill>
                <a:srgbClr val="0000FF"/>
              </a:solidFill>
              <a:ln>
                <a:solidFill>
                  <a:srgbClr val="0000FF"/>
                </a:solidFill>
                <a:prstDash val="solid"/>
              </a:ln>
            </c:spPr>
          </c:marker>
          <c:dLbls>
            <c:dLbl>
              <c:idx val="0"/>
              <c:layout>
                <c:manualLayout>
                  <c:x val="-5.1376760520460862E-2"/>
                  <c:y val="-3.2615632636217279E-2"/>
                </c:manualLayout>
              </c:layout>
              <c:dLblPos val="r"/>
              <c:showLegendKey val="0"/>
              <c:showVal val="1"/>
              <c:showCatName val="0"/>
              <c:showSerName val="0"/>
              <c:showPercent val="0"/>
              <c:showBubbleSize val="0"/>
            </c:dLbl>
            <c:numFmt formatCode="#,##0\ &quot;€&quot;"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numRef>
              <c:f>Hühnermast!$G$86:$I$86</c:f>
              <c:numCache>
                <c:formatCode>General</c:formatCode>
                <c:ptCount val="3"/>
              </c:numCache>
            </c:numRef>
          </c:cat>
          <c:val>
            <c:numRef>
              <c:f>Hühnermast!$G$62:$I$62</c:f>
              <c:numCache>
                <c:formatCode>#,##0_ ;[Red]\-#,##0\ </c:formatCode>
                <c:ptCount val="3"/>
                <c:pt idx="0">
                  <c:v>-13.311710100407481</c:v>
                </c:pt>
                <c:pt idx="1">
                  <c:v>382.75676998310837</c:v>
                </c:pt>
                <c:pt idx="2">
                  <c:v>580.79101002486664</c:v>
                </c:pt>
              </c:numCache>
            </c:numRef>
          </c:val>
          <c:smooth val="0"/>
        </c:ser>
        <c:dLbls>
          <c:showLegendKey val="0"/>
          <c:showVal val="0"/>
          <c:showCatName val="0"/>
          <c:showSerName val="0"/>
          <c:showPercent val="0"/>
          <c:showBubbleSize val="0"/>
        </c:dLbls>
        <c:marker val="1"/>
        <c:smooth val="0"/>
        <c:axId val="98988032"/>
        <c:axId val="99008512"/>
      </c:lineChart>
      <c:catAx>
        <c:axId val="9591091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Leistungsniveau (nach Futterverwertung) 1:</a:t>
                </a:r>
              </a:p>
            </c:rich>
          </c:tx>
          <c:layout>
            <c:manualLayout>
              <c:xMode val="edge"/>
              <c:yMode val="edge"/>
              <c:x val="9.2473556193372899E-2"/>
              <c:y val="0.9469831400784696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6314496"/>
        <c:crosses val="autoZero"/>
        <c:auto val="0"/>
        <c:lblAlgn val="ctr"/>
        <c:lblOffset val="100"/>
        <c:tickLblSkip val="1"/>
        <c:tickMarkSkip val="1"/>
        <c:noMultiLvlLbl val="0"/>
      </c:catAx>
      <c:valAx>
        <c:axId val="96314496"/>
        <c:scaling>
          <c:orientation val="minMax"/>
        </c:scaling>
        <c:delete val="0"/>
        <c:axPos val="l"/>
        <c:title>
          <c:tx>
            <c:rich>
              <a:bodyPr rot="0" vert="horz"/>
              <a:lstStyle/>
              <a:p>
                <a:pPr algn="l">
                  <a:defRPr sz="1400" b="1" i="0" u="none" strike="noStrike" baseline="0">
                    <a:solidFill>
                      <a:srgbClr val="000000"/>
                    </a:solidFill>
                    <a:latin typeface="Arial"/>
                    <a:ea typeface="Arial"/>
                    <a:cs typeface="Arial"/>
                  </a:defRPr>
                </a:pPr>
                <a:r>
                  <a:rPr lang="de-DE"/>
                  <a:t>DB je
100</a:t>
                </a:r>
                <a:r>
                  <a:rPr lang="de-DE" baseline="0"/>
                  <a:t> Mast</a:t>
                </a:r>
                <a:r>
                  <a:rPr lang="de-DE"/>
                  <a:t>plätze</a:t>
                </a:r>
              </a:p>
            </c:rich>
          </c:tx>
          <c:layout>
            <c:manualLayout>
              <c:xMode val="edge"/>
              <c:yMode val="edge"/>
              <c:x val="1.3397147789956626E-2"/>
              <c:y val="0.13745048347520383"/>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95910912"/>
        <c:crosses val="autoZero"/>
        <c:crossBetween val="between"/>
      </c:valAx>
      <c:catAx>
        <c:axId val="98988032"/>
        <c:scaling>
          <c:orientation val="minMax"/>
        </c:scaling>
        <c:delete val="1"/>
        <c:axPos val="b"/>
        <c:numFmt formatCode="General" sourceLinked="1"/>
        <c:majorTickMark val="out"/>
        <c:minorTickMark val="none"/>
        <c:tickLblPos val="nextTo"/>
        <c:crossAx val="99008512"/>
        <c:crosses val="autoZero"/>
        <c:auto val="0"/>
        <c:lblAlgn val="ctr"/>
        <c:lblOffset val="100"/>
        <c:noMultiLvlLbl val="0"/>
      </c:catAx>
      <c:valAx>
        <c:axId val="99008512"/>
        <c:scaling>
          <c:orientation val="minMax"/>
        </c:scaling>
        <c:delete val="0"/>
        <c:axPos val="r"/>
        <c:title>
          <c:tx>
            <c:rich>
              <a:bodyPr rot="0" vert="horz"/>
              <a:lstStyle/>
              <a:p>
                <a:pPr algn="l">
                  <a:defRPr sz="1400" b="1" i="0" u="none" strike="noStrike" baseline="0">
                    <a:solidFill>
                      <a:srgbClr val="000000"/>
                    </a:solidFill>
                    <a:latin typeface="Arial"/>
                    <a:ea typeface="Arial"/>
                    <a:cs typeface="Arial"/>
                  </a:defRPr>
                </a:pPr>
                <a:r>
                  <a:rPr lang="de-DE"/>
                  <a:t>Kalkulatorisches</a:t>
                </a:r>
                <a:r>
                  <a:rPr lang="de-DE" baseline="0"/>
                  <a:t> Betriebszweig- ergebnis</a:t>
                </a:r>
                <a:endParaRPr lang="de-DE"/>
              </a:p>
            </c:rich>
          </c:tx>
          <c:layout>
            <c:manualLayout>
              <c:xMode val="edge"/>
              <c:yMode val="edge"/>
              <c:x val="0.82010993005378408"/>
              <c:y val="0.13594047823721842"/>
            </c:manualLayout>
          </c:layout>
          <c:overlay val="0"/>
          <c:spPr>
            <a:noFill/>
            <a:ln w="25400">
              <a:noFill/>
            </a:ln>
          </c:spPr>
        </c:title>
        <c:numFmt formatCode="#,##0\ \€;[Red]#,##0\ \€" sourceLinked="0"/>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98988032"/>
        <c:crosses val="max"/>
        <c:crossBetween val="between"/>
      </c:valAx>
      <c:spPr>
        <a:solidFill>
          <a:srgbClr val="FFFFC0"/>
        </a:solidFill>
        <a:ln w="12700">
          <a:solidFill>
            <a:srgbClr val="808080"/>
          </a:solidFill>
          <a:prstDash val="solid"/>
        </a:ln>
      </c:spPr>
    </c:plotArea>
    <c:legend>
      <c:legendPos val="r"/>
      <c:layout>
        <c:manualLayout>
          <c:xMode val="edge"/>
          <c:yMode val="edge"/>
          <c:x val="0.20953781505575564"/>
          <c:y val="0.14995260219555054"/>
          <c:w val="0.5335013296945188"/>
          <c:h val="9.48123181005672E-2"/>
        </c:manualLayout>
      </c:layout>
      <c:overlay val="0"/>
      <c:spPr>
        <a:solidFill>
          <a:srgbClr val="FFFF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671641791045"/>
          <c:y val="0.24436112653563216"/>
          <c:w val="0.71828358208955223"/>
          <c:h val="0.60902311536572939"/>
        </c:manualLayout>
      </c:layout>
      <c:barChart>
        <c:barDir val="col"/>
        <c:grouping val="clustered"/>
        <c:varyColors val="0"/>
        <c:ser>
          <c:idx val="1"/>
          <c:order val="0"/>
          <c:tx>
            <c:strRef>
              <c:f>Hühnermast!$E$53</c:f>
              <c:strCache>
                <c:ptCount val="1"/>
                <c:pt idx="0">
                  <c:v>je 100  Tiere und DG  </c:v>
                </c:pt>
              </c:strCache>
            </c:strRef>
          </c:tx>
          <c:spPr>
            <a:solidFill>
              <a:srgbClr val="33CCCC"/>
            </a:solidFill>
            <a:ln w="12700">
              <a:solidFill>
                <a:srgbClr val="000000"/>
              </a:solidFill>
              <a:prstDash val="solid"/>
            </a:ln>
          </c:spPr>
          <c:invertIfNegative val="0"/>
          <c:dLbls>
            <c:numFmt formatCode="#,##0\ &quot;€&quot;" sourceLinked="0"/>
            <c:spPr>
              <a:solidFill>
                <a:srgbClr val="00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showLeaderLines val="0"/>
          </c:dLbls>
          <c:cat>
            <c:numRef>
              <c:f>Hühnermast!$G$41:$J$41</c:f>
              <c:numCache>
                <c:formatCode>General</c:formatCode>
                <c:ptCount val="4"/>
                <c:pt idx="0">
                  <c:v>3</c:v>
                </c:pt>
                <c:pt idx="1">
                  <c:v>2.5</c:v>
                </c:pt>
                <c:pt idx="2">
                  <c:v>2.25</c:v>
                </c:pt>
              </c:numCache>
            </c:numRef>
          </c:cat>
          <c:val>
            <c:numRef>
              <c:f>Hühnermast!$G$53:$I$53</c:f>
              <c:numCache>
                <c:formatCode>#,##0_ ;[Red]\-#,##0\ </c:formatCode>
                <c:ptCount val="3"/>
                <c:pt idx="0">
                  <c:v>206.4464992626381</c:v>
                </c:pt>
                <c:pt idx="1">
                  <c:v>305.19233950263799</c:v>
                </c:pt>
                <c:pt idx="2">
                  <c:v>354.565259622638</c:v>
                </c:pt>
              </c:numCache>
            </c:numRef>
          </c:val>
        </c:ser>
        <c:dLbls>
          <c:showLegendKey val="0"/>
          <c:showVal val="0"/>
          <c:showCatName val="0"/>
          <c:showSerName val="0"/>
          <c:showPercent val="0"/>
          <c:showBubbleSize val="0"/>
        </c:dLbls>
        <c:gapWidth val="100"/>
        <c:axId val="134590464"/>
        <c:axId val="134593536"/>
      </c:barChart>
      <c:lineChart>
        <c:grouping val="standard"/>
        <c:varyColors val="0"/>
        <c:ser>
          <c:idx val="0"/>
          <c:order val="1"/>
          <c:tx>
            <c:strRef>
              <c:f>Hühnermast!$E$60</c:f>
              <c:strCache>
                <c:ptCount val="1"/>
                <c:pt idx="0">
                  <c:v>je Std.</c:v>
                </c:pt>
              </c:strCache>
            </c:strRef>
          </c:tx>
          <c:spPr>
            <a:ln w="12700">
              <a:solidFill>
                <a:srgbClr val="000080"/>
              </a:solidFill>
              <a:prstDash val="solid"/>
            </a:ln>
          </c:spPr>
          <c:marker>
            <c:symbol val="star"/>
            <c:size val="5"/>
            <c:spPr>
              <a:solidFill>
                <a:srgbClr val="000080"/>
              </a:solidFill>
              <a:ln>
                <a:solidFill>
                  <a:srgbClr val="000080"/>
                </a:solidFill>
                <a:prstDash val="solid"/>
              </a:ln>
            </c:spPr>
          </c:marker>
          <c:dLbls>
            <c:numFmt formatCode="#,##0.00\ &quot;€&quot;" sourceLinked="0"/>
            <c:spPr>
              <a:noFill/>
              <a:ln w="25400">
                <a:noFill/>
              </a:ln>
            </c:spPr>
            <c:txPr>
              <a:bodyPr/>
              <a:lstStyle/>
              <a:p>
                <a:pPr>
                  <a:defRPr sz="1200" b="1"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numRef>
              <c:f>Hühnermast!$G$41:$J$41</c:f>
              <c:numCache>
                <c:formatCode>General</c:formatCode>
                <c:ptCount val="4"/>
                <c:pt idx="0">
                  <c:v>3</c:v>
                </c:pt>
                <c:pt idx="1">
                  <c:v>2.5</c:v>
                </c:pt>
                <c:pt idx="2">
                  <c:v>2.25</c:v>
                </c:pt>
              </c:numCache>
            </c:numRef>
          </c:cat>
          <c:val>
            <c:numRef>
              <c:f>Hühnermast!$G$60:$I$60</c:f>
              <c:numCache>
                <c:formatCode>#,##0.00_ ;[Red]\-#,##0.00\ </c:formatCode>
                <c:ptCount val="3"/>
                <c:pt idx="0">
                  <c:v>15.556276329986417</c:v>
                </c:pt>
                <c:pt idx="1">
                  <c:v>28.758558999436946</c:v>
                </c:pt>
                <c:pt idx="2">
                  <c:v>35.35970033416222</c:v>
                </c:pt>
              </c:numCache>
            </c:numRef>
          </c:val>
          <c:smooth val="0"/>
        </c:ser>
        <c:dLbls>
          <c:showLegendKey val="0"/>
          <c:showVal val="0"/>
          <c:showCatName val="0"/>
          <c:showSerName val="0"/>
          <c:showPercent val="0"/>
          <c:showBubbleSize val="0"/>
        </c:dLbls>
        <c:marker val="1"/>
        <c:smooth val="0"/>
        <c:axId val="134662016"/>
        <c:axId val="134663552"/>
      </c:lineChart>
      <c:catAx>
        <c:axId val="134590464"/>
        <c:scaling>
          <c:orientation val="minMax"/>
        </c:scaling>
        <c:delete val="0"/>
        <c:axPos val="b"/>
        <c:title>
          <c:tx>
            <c:rich>
              <a:bodyPr/>
              <a:lstStyle/>
              <a:p>
                <a:pPr algn="l">
                  <a:defRPr sz="1400" b="1" i="0" u="none" strike="noStrike" baseline="0">
                    <a:solidFill>
                      <a:srgbClr val="000000"/>
                    </a:solidFill>
                    <a:latin typeface="Arial"/>
                    <a:ea typeface="Arial"/>
                    <a:cs typeface="Arial"/>
                  </a:defRPr>
                </a:pPr>
                <a:r>
                  <a:rPr lang="de-DE" sz="1400" baseline="0"/>
                  <a:t>Futterverwertung 1: </a:t>
                </a:r>
                <a:endParaRPr lang="de-DE" sz="1400"/>
              </a:p>
            </c:rich>
          </c:tx>
          <c:layout>
            <c:manualLayout>
              <c:xMode val="edge"/>
              <c:yMode val="edge"/>
              <c:x val="0.13613944253520918"/>
              <c:y val="0.9417113813545626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134593536"/>
        <c:crosses val="autoZero"/>
        <c:auto val="0"/>
        <c:lblAlgn val="ctr"/>
        <c:lblOffset val="100"/>
        <c:tickLblSkip val="1"/>
        <c:tickMarkSkip val="1"/>
        <c:noMultiLvlLbl val="0"/>
      </c:catAx>
      <c:valAx>
        <c:axId val="134593536"/>
        <c:scaling>
          <c:orientation val="minMax"/>
        </c:scaling>
        <c:delete val="0"/>
        <c:axPos val="l"/>
        <c:title>
          <c:tx>
            <c:rich>
              <a:bodyPr rot="0" vert="horz"/>
              <a:lstStyle/>
              <a:p>
                <a:pPr algn="ctr">
                  <a:defRPr sz="1100" b="1" i="0" u="none" strike="noStrike" baseline="0">
                    <a:solidFill>
                      <a:srgbClr val="000000"/>
                    </a:solidFill>
                    <a:latin typeface="Arial"/>
                    <a:ea typeface="Arial"/>
                    <a:cs typeface="Arial"/>
                  </a:defRPr>
                </a:pPr>
                <a:r>
                  <a:rPr lang="de-DE"/>
                  <a:t>DB je DG</a:t>
                </a:r>
              </a:p>
            </c:rich>
          </c:tx>
          <c:layout>
            <c:manualLayout>
              <c:xMode val="edge"/>
              <c:yMode val="edge"/>
              <c:x val="1.5437241397887219E-2"/>
              <c:y val="0.16058306449560764"/>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34590464"/>
        <c:crosses val="autoZero"/>
        <c:crossBetween val="between"/>
      </c:valAx>
      <c:catAx>
        <c:axId val="134662016"/>
        <c:scaling>
          <c:orientation val="minMax"/>
        </c:scaling>
        <c:delete val="1"/>
        <c:axPos val="b"/>
        <c:numFmt formatCode="General" sourceLinked="1"/>
        <c:majorTickMark val="out"/>
        <c:minorTickMark val="none"/>
        <c:tickLblPos val="nextTo"/>
        <c:crossAx val="134663552"/>
        <c:crosses val="autoZero"/>
        <c:auto val="0"/>
        <c:lblAlgn val="ctr"/>
        <c:lblOffset val="100"/>
        <c:noMultiLvlLbl val="0"/>
      </c:catAx>
      <c:valAx>
        <c:axId val="134663552"/>
        <c:scaling>
          <c:orientation val="minMax"/>
        </c:scaling>
        <c:delete val="0"/>
        <c:axPos val="r"/>
        <c:title>
          <c:tx>
            <c:rich>
              <a:bodyPr rot="0" vert="horz"/>
              <a:lstStyle/>
              <a:p>
                <a:pPr algn="ctr">
                  <a:defRPr sz="1100" b="1" i="0" u="none" strike="noStrike" baseline="0">
                    <a:solidFill>
                      <a:srgbClr val="000000"/>
                    </a:solidFill>
                    <a:latin typeface="Arial"/>
                    <a:ea typeface="Arial"/>
                    <a:cs typeface="Arial"/>
                  </a:defRPr>
                </a:pPr>
                <a:r>
                  <a:rPr lang="de-DE"/>
                  <a:t>Ent- lohnung               je AKh</a:t>
                </a:r>
              </a:p>
            </c:rich>
          </c:tx>
          <c:layout>
            <c:manualLayout>
              <c:xMode val="edge"/>
              <c:yMode val="edge"/>
              <c:x val="0.84008035725451968"/>
              <c:y val="9.8435369148832899E-2"/>
            </c:manualLayout>
          </c:layout>
          <c:overlay val="0"/>
          <c:spPr>
            <a:noFill/>
            <a:ln w="25400">
              <a:noFill/>
            </a:ln>
          </c:spPr>
        </c:title>
        <c:numFmt formatCode="#,##0\ \€;[Red]\-#,##0\ \€"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34662016"/>
        <c:crosses val="max"/>
        <c:crossBetween val="between"/>
      </c:valAx>
      <c:spPr>
        <a:solidFill>
          <a:srgbClr val="FFFFC0"/>
        </a:solidFill>
        <a:ln w="12700">
          <a:solidFill>
            <a:srgbClr val="808080"/>
          </a:solidFill>
          <a:prstDash val="solid"/>
        </a:ln>
      </c:spPr>
    </c:plotArea>
    <c:legend>
      <c:legendPos val="r"/>
      <c:layout>
        <c:manualLayout>
          <c:xMode val="edge"/>
          <c:yMode val="edge"/>
          <c:x val="0.21009062147103566"/>
          <c:y val="0.10929196094425461"/>
          <c:w val="0.53431513550486143"/>
          <c:h val="0.10409556957312999"/>
        </c:manualLayout>
      </c:layout>
      <c:overlay val="0"/>
      <c:spPr>
        <a:solidFill>
          <a:srgbClr val="FFFFC0"/>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de-DE" sz="2400"/>
              <a:t>Kostenstruktur Hühnermast</a:t>
            </a:r>
          </a:p>
        </c:rich>
      </c:tx>
      <c:layout>
        <c:manualLayout>
          <c:xMode val="edge"/>
          <c:yMode val="edge"/>
          <c:x val="0.18976808663715211"/>
          <c:y val="8.3714776903365942E-2"/>
        </c:manualLayout>
      </c:layout>
      <c:overlay val="0"/>
      <c:spPr>
        <a:noFill/>
        <a:ln w="25400">
          <a:noFill/>
        </a:ln>
      </c:spPr>
    </c:title>
    <c:autoTitleDeleted val="0"/>
    <c:plotArea>
      <c:layout>
        <c:manualLayout>
          <c:layoutTarget val="inner"/>
          <c:xMode val="edge"/>
          <c:yMode val="edge"/>
          <c:x val="0.33036537458298282"/>
          <c:y val="0.35020694946291292"/>
          <c:w val="0.45306555789926617"/>
          <c:h val="0.59873454727956099"/>
        </c:manualLayout>
      </c:layout>
      <c:pieChart>
        <c:varyColors val="1"/>
        <c:ser>
          <c:idx val="1"/>
          <c:order val="0"/>
          <c:dPt>
            <c:idx val="0"/>
            <c:bubble3D val="0"/>
            <c:explosion val="11"/>
          </c:dPt>
          <c:dPt>
            <c:idx val="1"/>
            <c:bubble3D val="0"/>
            <c:explosion val="3"/>
          </c:dPt>
          <c:dPt>
            <c:idx val="2"/>
            <c:bubble3D val="0"/>
            <c:explosion val="10"/>
          </c:dPt>
          <c:dPt>
            <c:idx val="3"/>
            <c:bubble3D val="0"/>
            <c:explosion val="11"/>
          </c:dPt>
          <c:dPt>
            <c:idx val="4"/>
            <c:bubble3D val="0"/>
            <c:explosion val="11"/>
          </c:dPt>
          <c:dPt>
            <c:idx val="5"/>
            <c:bubble3D val="0"/>
            <c:explosion val="12"/>
          </c:dPt>
          <c:dPt>
            <c:idx val="6"/>
            <c:bubble3D val="0"/>
            <c:explosion val="11"/>
          </c:dPt>
          <c:dPt>
            <c:idx val="7"/>
            <c:bubble3D val="0"/>
            <c:explosion val="9"/>
          </c:dPt>
          <c:dPt>
            <c:idx val="8"/>
            <c:bubble3D val="0"/>
            <c:explosion val="9"/>
          </c:dPt>
          <c:dLbls>
            <c:dLbl>
              <c:idx val="0"/>
              <c:layout>
                <c:manualLayout>
                  <c:x val="6.7488931073425518E-2"/>
                  <c:y val="-0.11383375335165197"/>
                </c:manualLayout>
              </c:layout>
              <c:dLblPos val="bestFit"/>
              <c:showLegendKey val="1"/>
              <c:showVal val="1"/>
              <c:showCatName val="1"/>
              <c:showSerName val="0"/>
              <c:showPercent val="0"/>
              <c:showBubbleSize val="0"/>
              <c:separator>
</c:separator>
            </c:dLbl>
            <c:dLbl>
              <c:idx val="1"/>
              <c:layout>
                <c:manualLayout>
                  <c:x val="8.3471346468743934E-2"/>
                  <c:y val="-3.7860925368029083E-2"/>
                </c:manualLayout>
              </c:layout>
              <c:dLblPos val="bestFit"/>
              <c:showLegendKey val="1"/>
              <c:showVal val="1"/>
              <c:showCatName val="1"/>
              <c:showSerName val="0"/>
              <c:showPercent val="0"/>
              <c:showBubbleSize val="0"/>
              <c:separator>
</c:separator>
            </c:dLbl>
            <c:dLbl>
              <c:idx val="2"/>
              <c:layout>
                <c:manualLayout>
                  <c:x val="2.8480250228908367E-2"/>
                  <c:y val="0.10206687222026015"/>
                </c:manualLayout>
              </c:layout>
              <c:dLblPos val="bestFit"/>
              <c:showLegendKey val="1"/>
              <c:showVal val="1"/>
              <c:showCatName val="1"/>
              <c:showSerName val="0"/>
              <c:showPercent val="0"/>
              <c:showBubbleSize val="0"/>
              <c:separator>
</c:separator>
            </c:dLbl>
            <c:dLbl>
              <c:idx val="3"/>
              <c:layout>
                <c:manualLayout>
                  <c:x val="-0.15881541324917975"/>
                  <c:y val="3.963778670519346E-2"/>
                </c:manualLayout>
              </c:layout>
              <c:tx>
                <c:rich>
                  <a:bodyPr/>
                  <a:lstStyle/>
                  <a:p>
                    <a:r>
                      <a:rPr lang="en-US"/>
                      <a:t>Energie, Wasser, Einstreu</a:t>
                    </a:r>
                  </a:p>
                </c:rich>
              </c:tx>
              <c:dLblPos val="bestFit"/>
              <c:showLegendKey val="1"/>
              <c:showVal val="1"/>
              <c:showCatName val="0"/>
              <c:showSerName val="1"/>
              <c:showPercent val="0"/>
              <c:showBubbleSize val="0"/>
              <c:separator>
</c:separator>
            </c:dLbl>
            <c:dLbl>
              <c:idx val="4"/>
              <c:layout>
                <c:manualLayout>
                  <c:x val="-0.11281962697788545"/>
                  <c:y val="-2.6933077662802514E-2"/>
                </c:manualLayout>
              </c:layout>
              <c:dLblPos val="bestFit"/>
              <c:showLegendKey val="1"/>
              <c:showVal val="1"/>
              <c:showCatName val="1"/>
              <c:showSerName val="0"/>
              <c:showPercent val="0"/>
              <c:showBubbleSize val="0"/>
              <c:separator>
</c:separator>
            </c:dLbl>
            <c:dLbl>
              <c:idx val="6"/>
              <c:layout>
                <c:manualLayout>
                  <c:x val="-0.10393374340242138"/>
                  <c:y val="-0.27227668422678658"/>
                </c:manualLayout>
              </c:layout>
              <c:dLblPos val="bestFit"/>
              <c:showLegendKey val="1"/>
              <c:showVal val="1"/>
              <c:showCatName val="1"/>
              <c:showSerName val="0"/>
              <c:showPercent val="0"/>
              <c:showBubbleSize val="0"/>
              <c:separator>
</c:separator>
            </c:dLbl>
            <c:dLbl>
              <c:idx val="7"/>
              <c:layout>
                <c:manualLayout>
                  <c:x val="-2.6737553661931222E-2"/>
                  <c:y val="-0.175235637931691"/>
                </c:manualLayout>
              </c:layout>
              <c:dLblPos val="bestFit"/>
              <c:showLegendKey val="1"/>
              <c:showVal val="1"/>
              <c:showCatName val="1"/>
              <c:showSerName val="0"/>
              <c:showPercent val="0"/>
              <c:showBubbleSize val="0"/>
              <c:separator>
</c:separator>
            </c:dLbl>
            <c:dLbl>
              <c:idx val="8"/>
              <c:layout>
                <c:manualLayout>
                  <c:x val="3.4774705547525385E-3"/>
                  <c:y val="-0.11288663483346979"/>
                </c:manualLayout>
              </c:layout>
              <c:dLblPos val="bestFit"/>
              <c:showLegendKey val="1"/>
              <c:showVal val="1"/>
              <c:showCatName val="1"/>
              <c:showSerName val="0"/>
              <c:showPercent val="0"/>
              <c:showBubbleSize val="0"/>
              <c:separator>
</c:separator>
            </c:dLbl>
            <c:numFmt formatCode="#,##0\ &quot;€&quot;" sourceLinked="0"/>
            <c:dLblPos val="bestFit"/>
            <c:showLegendKey val="1"/>
            <c:showVal val="1"/>
            <c:showCatName val="1"/>
            <c:showSerName val="0"/>
            <c:showPercent val="0"/>
            <c:showBubbleSize val="0"/>
            <c:separator>
</c:separator>
            <c:showLeaderLines val="1"/>
          </c:dLbls>
          <c:cat>
            <c:strRef>
              <c:f>Hühnermast!$S$44:$S$52</c:f>
              <c:strCache>
                <c:ptCount val="9"/>
                <c:pt idx="0">
                  <c:v>Küken</c:v>
                </c:pt>
                <c:pt idx="1">
                  <c:v>Futterkosten</c:v>
                </c:pt>
                <c:pt idx="2">
                  <c:v>Gesundheit, Versicherung</c:v>
                </c:pt>
                <c:pt idx="3">
                  <c:v>Energie, Wasser,</c:v>
                </c:pt>
                <c:pt idx="4">
                  <c:v>Maschinen</c:v>
                </c:pt>
                <c:pt idx="5">
                  <c:v>Vermarktung, Beratung, Kontrolle</c:v>
                </c:pt>
                <c:pt idx="6">
                  <c:v>Sonstiges</c:v>
                </c:pt>
                <c:pt idx="7">
                  <c:v>Stall</c:v>
                </c:pt>
                <c:pt idx="8">
                  <c:v>Arbeit</c:v>
                </c:pt>
              </c:strCache>
            </c:strRef>
          </c:cat>
          <c:val>
            <c:numRef>
              <c:f>Hühnermast!$T$44:$T$52</c:f>
              <c:numCache>
                <c:formatCode>0</c:formatCode>
                <c:ptCount val="9"/>
                <c:pt idx="0">
                  <c:v>96.300000000000011</c:v>
                </c:pt>
                <c:pt idx="1">
                  <c:v>502.52460120000006</c:v>
                </c:pt>
                <c:pt idx="2">
                  <c:v>13</c:v>
                </c:pt>
                <c:pt idx="3">
                  <c:v>30</c:v>
                </c:pt>
                <c:pt idx="4">
                  <c:v>8</c:v>
                </c:pt>
                <c:pt idx="5">
                  <c:v>10</c:v>
                </c:pt>
                <c:pt idx="6">
                  <c:v>61.620104516117259</c:v>
                </c:pt>
                <c:pt idx="7">
                  <c:v>72.143391369862996</c:v>
                </c:pt>
                <c:pt idx="8">
                  <c:v>119.67123287671232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671641791045"/>
          <c:y val="0.24436112653563216"/>
          <c:w val="0.71828358208955223"/>
          <c:h val="0.60902311536572939"/>
        </c:manualLayout>
      </c:layout>
      <c:barChart>
        <c:barDir val="col"/>
        <c:grouping val="clustered"/>
        <c:varyColors val="0"/>
        <c:ser>
          <c:idx val="1"/>
          <c:order val="0"/>
          <c:tx>
            <c:strRef>
              <c:f>Hühnermast!$G$65:$I$65</c:f>
              <c:strCache>
                <c:ptCount val="1"/>
                <c:pt idx="0">
                  <c:v>2,80 2,51 2,37</c:v>
                </c:pt>
              </c:strCache>
            </c:strRef>
          </c:tx>
          <c:spPr>
            <a:solidFill>
              <a:srgbClr val="33CCCC"/>
            </a:solidFill>
            <a:ln w="12700">
              <a:solidFill>
                <a:srgbClr val="000000"/>
              </a:solidFill>
              <a:prstDash val="solid"/>
            </a:ln>
          </c:spPr>
          <c:invertIfNegative val="0"/>
          <c:dLbls>
            <c:dLbl>
              <c:idx val="3"/>
              <c:delete val="1"/>
            </c:dLbl>
            <c:numFmt formatCode="#,##0.00\ &quot;€&quot;" sourceLinked="0"/>
            <c:spPr>
              <a:solidFill>
                <a:srgbClr val="00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numRef>
              <c:f>Hühnermast!$G$41:$J$41</c:f>
              <c:numCache>
                <c:formatCode>General</c:formatCode>
                <c:ptCount val="4"/>
                <c:pt idx="0">
                  <c:v>3</c:v>
                </c:pt>
                <c:pt idx="1">
                  <c:v>2.5</c:v>
                </c:pt>
                <c:pt idx="2">
                  <c:v>2.25</c:v>
                </c:pt>
              </c:numCache>
            </c:numRef>
          </c:cat>
          <c:val>
            <c:numRef>
              <c:f>Hühnermast!$G$65:$I$65</c:f>
              <c:numCache>
                <c:formatCode>#,##0.00</c:formatCode>
                <c:ptCount val="3"/>
                <c:pt idx="0">
                  <c:v>2.8009590661736734</c:v>
                </c:pt>
                <c:pt idx="1">
                  <c:v>2.5113707786484807</c:v>
                </c:pt>
                <c:pt idx="2">
                  <c:v>2.3665766348858837</c:v>
                </c:pt>
              </c:numCache>
            </c:numRef>
          </c:val>
        </c:ser>
        <c:dLbls>
          <c:showLegendKey val="0"/>
          <c:showVal val="0"/>
          <c:showCatName val="0"/>
          <c:showSerName val="0"/>
          <c:showPercent val="0"/>
          <c:showBubbleSize val="0"/>
        </c:dLbls>
        <c:gapWidth val="100"/>
        <c:axId val="116676864"/>
        <c:axId val="116687232"/>
      </c:barChart>
      <c:catAx>
        <c:axId val="116676864"/>
        <c:scaling>
          <c:orientation val="minMax"/>
        </c:scaling>
        <c:delete val="0"/>
        <c:axPos val="b"/>
        <c:title>
          <c:tx>
            <c:rich>
              <a:bodyPr/>
              <a:lstStyle/>
              <a:p>
                <a:pPr algn="l">
                  <a:defRPr sz="1400" b="1" i="0" u="none" strike="noStrike" baseline="0">
                    <a:solidFill>
                      <a:srgbClr val="000000"/>
                    </a:solidFill>
                    <a:latin typeface="Arial"/>
                    <a:ea typeface="Arial"/>
                    <a:cs typeface="Arial"/>
                  </a:defRPr>
                </a:pPr>
                <a:r>
                  <a:rPr lang="de-DE" sz="1400" baseline="0"/>
                  <a:t>Futterverwertung 1: </a:t>
                </a:r>
                <a:endParaRPr lang="de-DE" sz="1400"/>
              </a:p>
            </c:rich>
          </c:tx>
          <c:layout>
            <c:manualLayout>
              <c:xMode val="edge"/>
              <c:yMode val="edge"/>
              <c:x val="0.14211456821015492"/>
              <c:y val="0.9417113813545626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116687232"/>
        <c:crosses val="autoZero"/>
        <c:auto val="0"/>
        <c:lblAlgn val="ctr"/>
        <c:lblOffset val="100"/>
        <c:tickLblSkip val="1"/>
        <c:tickMarkSkip val="1"/>
        <c:noMultiLvlLbl val="0"/>
      </c:catAx>
      <c:valAx>
        <c:axId val="116687232"/>
        <c:scaling>
          <c:orientation val="minMax"/>
        </c:scaling>
        <c:delete val="0"/>
        <c:axPos val="l"/>
        <c:title>
          <c:tx>
            <c:rich>
              <a:bodyPr rot="0" vert="horz"/>
              <a:lstStyle/>
              <a:p>
                <a:pPr algn="l">
                  <a:defRPr sz="1100" b="1" i="0" u="none" strike="noStrike" baseline="0">
                    <a:solidFill>
                      <a:srgbClr val="000000"/>
                    </a:solidFill>
                    <a:latin typeface="Arial"/>
                    <a:ea typeface="Arial"/>
                    <a:cs typeface="Arial"/>
                  </a:defRPr>
                </a:pPr>
                <a:r>
                  <a:rPr lang="de-DE" sz="1100"/>
                  <a:t>Erforderl.</a:t>
                </a:r>
                <a:r>
                  <a:rPr lang="de-DE" sz="1100" baseline="0"/>
                  <a:t> Preis</a:t>
                </a:r>
                <a:endParaRPr lang="de-DE" sz="1100"/>
              </a:p>
            </c:rich>
          </c:tx>
          <c:layout>
            <c:manualLayout>
              <c:xMode val="edge"/>
              <c:yMode val="edge"/>
              <c:x val="1.6522636733837899E-4"/>
              <c:y val="0.12467520350144055"/>
            </c:manualLayout>
          </c:layout>
          <c:overlay val="0"/>
          <c:spPr>
            <a:noFill/>
            <a:ln w="25400">
              <a:noFill/>
            </a:ln>
          </c:spPr>
        </c:title>
        <c:numFmt formatCode="#,##0.00\ &quot;€&quot;"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6676864"/>
        <c:crosses val="autoZero"/>
        <c:crossBetween val="between"/>
      </c:valAx>
      <c:spPr>
        <a:solidFill>
          <a:srgbClr val="FFFFC0"/>
        </a:solidFill>
        <a:ln w="12700">
          <a:solidFill>
            <a:srgbClr val="808080"/>
          </a:solidFill>
          <a:prstDash val="solid"/>
        </a:ln>
      </c:spPr>
    </c:plotArea>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Kostenstruktur </a:t>
            </a:r>
            <a:r>
              <a:rPr lang="de-DE" baseline="0"/>
              <a:t>Ferkelerzeugung</a:t>
            </a:r>
            <a:endParaRPr lang="de-DE"/>
          </a:p>
        </c:rich>
      </c:tx>
      <c:overlay val="0"/>
    </c:title>
    <c:autoTitleDeleted val="0"/>
    <c:plotArea>
      <c:layout/>
      <c:pieChart>
        <c:varyColors val="1"/>
        <c:ser>
          <c:idx val="0"/>
          <c:order val="0"/>
          <c:dLbls>
            <c:showLegendKey val="0"/>
            <c:showVal val="0"/>
            <c:showCatName val="0"/>
            <c:showSerName val="0"/>
            <c:showPercent val="1"/>
            <c:showBubbleSize val="0"/>
            <c:showLeaderLines val="1"/>
          </c:dLbls>
          <c:cat>
            <c:multiLvlStrRef>
              <c:f>Hähnchenmast!#REF!</c:f>
            </c:multiLvlStrRef>
          </c:cat>
          <c:val>
            <c:numRef>
              <c:f>Hähnchenmast!#REF!</c:f>
              <c:numCache>
                <c:formatCode>General</c:formatCode>
                <c:ptCount val="1"/>
                <c:pt idx="0">
                  <c:v>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744444444444446"/>
          <c:y val="0.30279143140352527"/>
          <c:w val="0.31035568378875794"/>
          <c:h val="0.32585145227250217"/>
        </c:manualLayout>
      </c:layout>
      <c:overlay val="0"/>
      <c:txPr>
        <a:bodyPr/>
        <a:lstStyle/>
        <a:p>
          <a:pPr rtl="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Kostenstruktur</a:t>
            </a:r>
            <a:r>
              <a:rPr lang="de-DE" baseline="0"/>
              <a:t> Schweinemast </a:t>
            </a:r>
            <a:endParaRPr lang="de-DE"/>
          </a:p>
        </c:rich>
      </c:tx>
      <c:overlay val="0"/>
    </c:title>
    <c:autoTitleDeleted val="0"/>
    <c:plotArea>
      <c:layout/>
      <c:pieChart>
        <c:varyColors val="1"/>
        <c:ser>
          <c:idx val="0"/>
          <c:order val="0"/>
          <c:tx>
            <c:strRef>
              <c:f>Hähnchenmast!#REF!</c:f>
              <c:strCache>
                <c:ptCount val="1"/>
                <c:pt idx="0">
                  <c:v>#REF!</c:v>
                </c:pt>
              </c:strCache>
            </c:strRef>
          </c:tx>
          <c:dLbls>
            <c:showLegendKey val="0"/>
            <c:showVal val="0"/>
            <c:showCatName val="0"/>
            <c:showSerName val="0"/>
            <c:showPercent val="1"/>
            <c:showBubbleSize val="0"/>
            <c:showLeaderLines val="1"/>
          </c:dLbls>
          <c:cat>
            <c:multiLvlStrRef>
              <c:f>Hähnchenmast!#REF!</c:f>
            </c:multiLvlStrRef>
          </c:cat>
          <c:val>
            <c:numRef>
              <c:f>Hähnchenmast!#REF!</c:f>
              <c:numCache>
                <c:formatCode>General</c:formatCode>
                <c:ptCount val="1"/>
                <c:pt idx="0">
                  <c:v>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858680940780864"/>
          <c:y val="0.37126687516725121"/>
          <c:w val="0.31379710804751254"/>
          <c:h val="0.32585145227250217"/>
        </c:manualLayout>
      </c:layout>
      <c:overlay val="0"/>
      <c:txPr>
        <a:bodyPr/>
        <a:lstStyle/>
        <a:p>
          <a:pPr rtl="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67389060887514"/>
          <c:y val="0.19804216867469882"/>
          <c:w val="0.4195783576588531"/>
          <c:h val="0.71435742971887561"/>
        </c:manualLayout>
      </c:layout>
      <c:pieChart>
        <c:varyColors val="1"/>
        <c:ser>
          <c:idx val="0"/>
          <c:order val="1"/>
          <c:dLbls>
            <c:dLbl>
              <c:idx val="0"/>
              <c:layout>
                <c:manualLayout>
                  <c:x val="6.2400622731212572E-2"/>
                  <c:y val="-3.076787657640356E-2"/>
                </c:manualLayout>
              </c:layout>
              <c:showLegendKey val="0"/>
              <c:showVal val="1"/>
              <c:showCatName val="1"/>
              <c:showSerName val="0"/>
              <c:showPercent val="0"/>
              <c:showBubbleSize val="0"/>
            </c:dLbl>
            <c:dLbl>
              <c:idx val="1"/>
              <c:layout>
                <c:manualLayout>
                  <c:x val="7.4110498230669508E-2"/>
                  <c:y val="2.9542496212363697E-2"/>
                </c:manualLayout>
              </c:layout>
              <c:showLegendKey val="0"/>
              <c:showVal val="1"/>
              <c:showCatName val="1"/>
              <c:showSerName val="0"/>
              <c:showPercent val="0"/>
              <c:showBubbleSize val="0"/>
            </c:dLbl>
            <c:dLbl>
              <c:idx val="2"/>
              <c:layout>
                <c:manualLayout>
                  <c:x val="0.10856758111272075"/>
                  <c:y val="0.17723523888782194"/>
                </c:manualLayout>
              </c:layout>
              <c:showLegendKey val="0"/>
              <c:showVal val="1"/>
              <c:showCatName val="1"/>
              <c:showSerName val="0"/>
              <c:showPercent val="0"/>
              <c:showBubbleSize val="0"/>
            </c:dLbl>
            <c:dLbl>
              <c:idx val="4"/>
              <c:layout>
                <c:manualLayout>
                  <c:x val="-5.0994877091321215E-2"/>
                  <c:y val="6.8725149193749155E-2"/>
                </c:manualLayout>
              </c:layout>
              <c:showLegendKey val="0"/>
              <c:showVal val="1"/>
              <c:showCatName val="1"/>
              <c:showSerName val="0"/>
              <c:showPercent val="0"/>
              <c:showBubbleSize val="0"/>
            </c:dLbl>
            <c:dLbl>
              <c:idx val="6"/>
              <c:layout>
                <c:manualLayout>
                  <c:x val="-6.0216493541905634E-2"/>
                  <c:y val="-0.10879425132834006"/>
                </c:manualLayout>
              </c:layout>
              <c:showLegendKey val="0"/>
              <c:showVal val="1"/>
              <c:showCatName val="1"/>
              <c:showSerName val="0"/>
              <c:showPercent val="0"/>
              <c:showBubbleSize val="0"/>
            </c:dLbl>
            <c:dLbl>
              <c:idx val="7"/>
              <c:layout>
                <c:manualLayout>
                  <c:x val="-4.1455344779522986E-2"/>
                  <c:y val="-9.6236725490614489E-2"/>
                </c:manualLayout>
              </c:layout>
              <c:showLegendKey val="0"/>
              <c:showVal val="1"/>
              <c:showCatName val="1"/>
              <c:showSerName val="0"/>
              <c:showPercent val="0"/>
              <c:showBubbleSize val="0"/>
            </c:dLbl>
            <c:dLbl>
              <c:idx val="8"/>
              <c:layout>
                <c:manualLayout>
                  <c:x val="6.050592341076344E-2"/>
                  <c:y val="-6.4121126119397673E-2"/>
                </c:manualLayout>
              </c:layout>
              <c:showLegendKey val="0"/>
              <c:showVal val="1"/>
              <c:showCatName val="1"/>
              <c:showSerName val="0"/>
              <c:showPercent val="0"/>
              <c:showBubbleSize val="0"/>
            </c:dLbl>
            <c:txPr>
              <a:bodyPr/>
              <a:lstStyle/>
              <a:p>
                <a:pPr>
                  <a:defRPr sz="1400"/>
                </a:pPr>
                <a:endParaRPr lang="de-DE"/>
              </a:p>
            </c:txPr>
            <c:showLegendKey val="0"/>
            <c:showVal val="1"/>
            <c:showCatName val="1"/>
            <c:showSerName val="0"/>
            <c:showPercent val="0"/>
            <c:showBubbleSize val="0"/>
            <c:showLeaderLines val="1"/>
          </c:dLbls>
          <c:cat>
            <c:multiLvlStrRef>
              <c:f>Mobilstall!$S$44:$S$52</c:f>
            </c:multiLvlStrRef>
          </c:cat>
          <c:val>
            <c:numRef>
              <c:f>Mobilstall!$T$44:$T$52</c:f>
            </c:numRef>
          </c:val>
        </c:ser>
        <c:ser>
          <c:idx val="1"/>
          <c:order val="0"/>
          <c:dPt>
            <c:idx val="0"/>
            <c:bubble3D val="0"/>
            <c:explosion val="11"/>
          </c:dPt>
          <c:dPt>
            <c:idx val="1"/>
            <c:bubble3D val="0"/>
            <c:explosion val="3"/>
          </c:dPt>
          <c:dPt>
            <c:idx val="2"/>
            <c:bubble3D val="0"/>
            <c:explosion val="10"/>
          </c:dPt>
          <c:dPt>
            <c:idx val="3"/>
            <c:bubble3D val="0"/>
            <c:explosion val="11"/>
          </c:dPt>
          <c:dPt>
            <c:idx val="4"/>
            <c:bubble3D val="0"/>
            <c:explosion val="11"/>
          </c:dPt>
          <c:dPt>
            <c:idx val="5"/>
            <c:bubble3D val="0"/>
            <c:explosion val="12"/>
          </c:dPt>
          <c:dPt>
            <c:idx val="6"/>
            <c:bubble3D val="0"/>
            <c:explosion val="11"/>
          </c:dPt>
          <c:dPt>
            <c:idx val="7"/>
            <c:bubble3D val="0"/>
            <c:explosion val="9"/>
          </c:dPt>
          <c:dPt>
            <c:idx val="8"/>
            <c:bubble3D val="0"/>
            <c:explosion val="9"/>
          </c:dPt>
          <c:dLbls>
            <c:dLbl>
              <c:idx val="3"/>
              <c:tx>
                <c:rich>
                  <a:bodyPr/>
                  <a:lstStyle/>
                  <a:p>
                    <a:r>
                      <a:rPr lang="en-US"/>
                      <a:t>Energie, Wasser, Einstreu</a:t>
                    </a:r>
                  </a:p>
                </c:rich>
              </c:tx>
              <c:showLegendKey val="0"/>
              <c:showVal val="1"/>
              <c:showCatName val="1"/>
              <c:showSerName val="0"/>
              <c:showPercent val="0"/>
              <c:showBubbleSize val="0"/>
              <c:separator>
</c:separator>
            </c:dLbl>
            <c:numFmt formatCode="#,##0\ &quot;€&quot;" sourceLinked="0"/>
            <c:showLegendKey val="0"/>
            <c:showVal val="1"/>
            <c:showCatName val="1"/>
            <c:showSerName val="0"/>
            <c:showPercent val="0"/>
            <c:showBubbleSize val="0"/>
            <c:separator>
</c:separator>
            <c:showLeaderLines val="1"/>
          </c:dLbls>
          <c:cat>
            <c:strRef>
              <c:f>Hühnermast!$S$44:$S$52</c:f>
              <c:strCache>
                <c:ptCount val="9"/>
                <c:pt idx="0">
                  <c:v>Küken</c:v>
                </c:pt>
                <c:pt idx="1">
                  <c:v>Futterkosten</c:v>
                </c:pt>
                <c:pt idx="2">
                  <c:v>Gesundheit, Versicherung</c:v>
                </c:pt>
                <c:pt idx="3">
                  <c:v>Energie, Wasser,</c:v>
                </c:pt>
                <c:pt idx="4">
                  <c:v>Maschinen</c:v>
                </c:pt>
                <c:pt idx="5">
                  <c:v>Vermarktung, Beratung, Kontrolle</c:v>
                </c:pt>
                <c:pt idx="6">
                  <c:v>Sonstiges</c:v>
                </c:pt>
                <c:pt idx="7">
                  <c:v>Stall</c:v>
                </c:pt>
                <c:pt idx="8">
                  <c:v>Arbeit</c:v>
                </c:pt>
              </c:strCache>
            </c:strRef>
          </c:cat>
          <c:val>
            <c:numRef>
              <c:f>Hühnermast!$T$44:$T$52</c:f>
              <c:numCache>
                <c:formatCode>0</c:formatCode>
                <c:ptCount val="9"/>
                <c:pt idx="0">
                  <c:v>96.300000000000011</c:v>
                </c:pt>
                <c:pt idx="1">
                  <c:v>502.52460120000006</c:v>
                </c:pt>
                <c:pt idx="2">
                  <c:v>13</c:v>
                </c:pt>
                <c:pt idx="3">
                  <c:v>30</c:v>
                </c:pt>
                <c:pt idx="4">
                  <c:v>8</c:v>
                </c:pt>
                <c:pt idx="5">
                  <c:v>10</c:v>
                </c:pt>
                <c:pt idx="6">
                  <c:v>61.620104516117259</c:v>
                </c:pt>
                <c:pt idx="7">
                  <c:v>72.143391369862996</c:v>
                </c:pt>
                <c:pt idx="8">
                  <c:v>119.67123287671232</c:v>
                </c:pt>
              </c:numCache>
            </c:numRef>
          </c:val>
        </c:ser>
        <c:dLbls>
          <c:showLegendKey val="0"/>
          <c:showVal val="1"/>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99"/>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wmf"/></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68</xdr:row>
      <xdr:rowOff>25879</xdr:rowOff>
    </xdr:from>
    <xdr:to>
      <xdr:col>0</xdr:col>
      <xdr:colOff>0</xdr:colOff>
      <xdr:row>68</xdr:row>
      <xdr:rowOff>60385</xdr:rowOff>
    </xdr:to>
    <xdr:sp macro="" textlink="">
      <xdr:nvSpPr>
        <xdr:cNvPr id="2921020" name="Zeichnung 1"/>
        <xdr:cNvSpPr>
          <a:spLocks/>
        </xdr:cNvSpPr>
      </xdr:nvSpPr>
      <xdr:spPr bwMode="auto">
        <a:xfrm>
          <a:off x="0" y="23196430"/>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51504</xdr:colOff>
      <xdr:row>0</xdr:row>
      <xdr:rowOff>63262</xdr:rowOff>
    </xdr:from>
    <xdr:to>
      <xdr:col>1</xdr:col>
      <xdr:colOff>1265207</xdr:colOff>
      <xdr:row>1</xdr:row>
      <xdr:rowOff>822067</xdr:rowOff>
    </xdr:to>
    <xdr:pic>
      <xdr:nvPicPr>
        <xdr:cNvPr id="292102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19" y="63262"/>
          <a:ext cx="1213703" cy="850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161027</xdr:colOff>
      <xdr:row>23</xdr:row>
      <xdr:rowOff>11502</xdr:rowOff>
    </xdr:from>
    <xdr:to>
      <xdr:col>8</xdr:col>
      <xdr:colOff>609601</xdr:colOff>
      <xdr:row>23</xdr:row>
      <xdr:rowOff>238664</xdr:rowOff>
    </xdr:to>
    <xdr:sp macro="" textlink="">
      <xdr:nvSpPr>
        <xdr:cNvPr id="5" name="Pfeil nach rechts 4"/>
        <xdr:cNvSpPr/>
      </xdr:nvSpPr>
      <xdr:spPr bwMode="auto">
        <a:xfrm rot="10800000">
          <a:off x="11041812" y="6418053"/>
          <a:ext cx="448574" cy="227162"/>
        </a:xfrm>
        <a:prstGeom prst="rightArrow">
          <a:avLst/>
        </a:prstGeom>
        <a:solidFill>
          <a:srgbClr xmlns:mc="http://schemas.openxmlformats.org/markup-compatibility/2006" xmlns:a14="http://schemas.microsoft.com/office/drawing/2010/main" val="FFFFFF" mc:Ignorable="a14" a14:legacySpreadsheetColorIndex="9"/>
        </a:solidFill>
        <a:ln w="571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a:p>
      </xdr:txBody>
    </xdr:sp>
    <xdr:clientData/>
  </xdr:twoCellAnchor>
  <xdr:twoCellAnchor editAs="oneCell">
    <xdr:from>
      <xdr:col>7</xdr:col>
      <xdr:colOff>32981</xdr:colOff>
      <xdr:row>1</xdr:row>
      <xdr:rowOff>69012</xdr:rowOff>
    </xdr:from>
    <xdr:to>
      <xdr:col>7</xdr:col>
      <xdr:colOff>1478974</xdr:colOff>
      <xdr:row>2</xdr:row>
      <xdr:rowOff>92013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8008" y="161027"/>
          <a:ext cx="1445993" cy="943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77638</xdr:colOff>
      <xdr:row>1</xdr:row>
      <xdr:rowOff>17253</xdr:rowOff>
    </xdr:from>
    <xdr:to>
      <xdr:col>1</xdr:col>
      <xdr:colOff>727268</xdr:colOff>
      <xdr:row>2</xdr:row>
      <xdr:rowOff>20298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538" y="93453"/>
          <a:ext cx="649630" cy="460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1457864</xdr:colOff>
      <xdr:row>17</xdr:row>
      <xdr:rowOff>0</xdr:rowOff>
    </xdr:from>
    <xdr:ext cx="184731" cy="264560"/>
    <xdr:sp macro="" textlink="">
      <xdr:nvSpPr>
        <xdr:cNvPr id="3" name="Textfeld 2"/>
        <xdr:cNvSpPr txBox="1"/>
      </xdr:nvSpPr>
      <xdr:spPr>
        <a:xfrm>
          <a:off x="1549304" y="3345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10</xdr:col>
      <xdr:colOff>81189</xdr:colOff>
      <xdr:row>41</xdr:row>
      <xdr:rowOff>1</xdr:rowOff>
    </xdr:from>
    <xdr:to>
      <xdr:col>10</xdr:col>
      <xdr:colOff>263866</xdr:colOff>
      <xdr:row>52</xdr:row>
      <xdr:rowOff>213124</xdr:rowOff>
    </xdr:to>
    <xdr:sp macro="" textlink="">
      <xdr:nvSpPr>
        <xdr:cNvPr id="4" name="Geschweifte Klammer rechts 3"/>
        <xdr:cNvSpPr/>
      </xdr:nvSpPr>
      <xdr:spPr bwMode="auto">
        <a:xfrm>
          <a:off x="11869329" y="9418321"/>
          <a:ext cx="182677" cy="3040143"/>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twoCellAnchor>
    <xdr:from>
      <xdr:col>10</xdr:col>
      <xdr:colOff>81191</xdr:colOff>
      <xdr:row>53</xdr:row>
      <xdr:rowOff>0</xdr:rowOff>
    </xdr:from>
    <xdr:to>
      <xdr:col>10</xdr:col>
      <xdr:colOff>263867</xdr:colOff>
      <xdr:row>62</xdr:row>
      <xdr:rowOff>30447</xdr:rowOff>
    </xdr:to>
    <xdr:sp macro="" textlink="">
      <xdr:nvSpPr>
        <xdr:cNvPr id="5" name="Geschweifte Klammer rechts 4"/>
        <xdr:cNvSpPr/>
      </xdr:nvSpPr>
      <xdr:spPr bwMode="auto">
        <a:xfrm>
          <a:off x="11869331" y="12557760"/>
          <a:ext cx="182676" cy="2285967"/>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281940</xdr:colOff>
      <xdr:row>0</xdr:row>
      <xdr:rowOff>152400</xdr:rowOff>
    </xdr:from>
    <xdr:to>
      <xdr:col>8</xdr:col>
      <xdr:colOff>506730</xdr:colOff>
      <xdr:row>34</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0.03589</cdr:x>
      <cdr:y>0.20818</cdr:y>
    </cdr:from>
    <cdr:to>
      <cdr:x>0.12432</cdr:x>
      <cdr:y>0.24031</cdr:y>
    </cdr:to>
    <cdr:sp macro="" textlink="">
      <cdr:nvSpPr>
        <cdr:cNvPr id="3" name="Textfeld 2"/>
        <cdr:cNvSpPr txBox="1"/>
      </cdr:nvSpPr>
      <cdr:spPr>
        <a:xfrm xmlns:a="http://schemas.openxmlformats.org/drawingml/2006/main">
          <a:off x="274043" y="1620515"/>
          <a:ext cx="675111" cy="250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0.19447</cdr:x>
      <cdr:y>0.10956</cdr:y>
    </cdr:from>
    <cdr:to>
      <cdr:x>0.88566</cdr:x>
      <cdr:y>0.17542</cdr:y>
    </cdr:to>
    <cdr:sp macro="" textlink="">
      <cdr:nvSpPr>
        <cdr:cNvPr id="4" name="Textfeld 3"/>
        <cdr:cNvSpPr txBox="1"/>
      </cdr:nvSpPr>
      <cdr:spPr>
        <a:xfrm xmlns:a="http://schemas.openxmlformats.org/drawingml/2006/main">
          <a:off x="1276624" y="616117"/>
          <a:ext cx="4537436" cy="3703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800" b="1">
              <a:latin typeface="Arial" panose="020B0604020202020204" pitchFamily="34" charset="0"/>
              <a:cs typeface="Arial" panose="020B0604020202020204" pitchFamily="34" charset="0"/>
            </a:rPr>
            <a:t>bei einer</a:t>
          </a:r>
          <a:r>
            <a:rPr lang="de-DE" sz="1800" b="1" baseline="0">
              <a:latin typeface="Arial" panose="020B0604020202020204" pitchFamily="34" charset="0"/>
              <a:cs typeface="Arial" panose="020B0604020202020204" pitchFamily="34" charset="0"/>
            </a:rPr>
            <a:t> Futterverwertung von 1:</a:t>
          </a:r>
          <a:endParaRPr lang="de-DE" sz="1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0.76975</cdr:x>
      <cdr:y>0.11112</cdr:y>
    </cdr:from>
    <cdr:to>
      <cdr:x>0.88683</cdr:x>
      <cdr:y>0.16251</cdr:y>
    </cdr:to>
    <cdr:sp macro="" textlink="Hühnermast!$H$41">
      <cdr:nvSpPr>
        <cdr:cNvPr id="5" name="Textfeld 1"/>
        <cdr:cNvSpPr txBox="1"/>
      </cdr:nvSpPr>
      <cdr:spPr>
        <a:xfrm xmlns:a="http://schemas.openxmlformats.org/drawingml/2006/main">
          <a:off x="5053106" y="624888"/>
          <a:ext cx="768574" cy="2889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E6F0B49-41FE-4357-9CFA-F10291BFE40F}" type="TxLink">
            <a:rPr lang="en-US" sz="1800" b="1" i="0" u="none" strike="noStrike">
              <a:solidFill>
                <a:sysClr val="windowText" lastClr="000000"/>
              </a:solidFill>
              <a:latin typeface="Arial"/>
              <a:cs typeface="Arial"/>
            </a:rPr>
            <a:pPr/>
            <a:t>2,5</a:t>
          </a:fld>
          <a:endParaRPr lang="de-DE" sz="1400">
            <a:solidFill>
              <a:sysClr val="windowText" lastClr="000000"/>
            </a:solidFill>
          </a:endParaRPr>
        </a:p>
      </cdr:txBody>
    </cdr:sp>
  </cdr:relSizeAnchor>
  <cdr:relSizeAnchor xmlns:cdr="http://schemas.openxmlformats.org/drawingml/2006/chartDrawing">
    <cdr:from>
      <cdr:x>0.03589</cdr:x>
      <cdr:y>0.20818</cdr:y>
    </cdr:from>
    <cdr:to>
      <cdr:x>0.12432</cdr:x>
      <cdr:y>0.24031</cdr:y>
    </cdr:to>
    <cdr:sp macro="" textlink="">
      <cdr:nvSpPr>
        <cdr:cNvPr id="6" name="Textfeld 2"/>
        <cdr:cNvSpPr txBox="1"/>
      </cdr:nvSpPr>
      <cdr:spPr>
        <a:xfrm xmlns:a="http://schemas.openxmlformats.org/drawingml/2006/main">
          <a:off x="274043" y="1620515"/>
          <a:ext cx="675111" cy="250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0.22581</cdr:x>
      <cdr:y>0.04224</cdr:y>
    </cdr:from>
    <cdr:to>
      <cdr:x>0.79402</cdr:x>
      <cdr:y>0.10811</cdr:y>
    </cdr:to>
    <cdr:sp macro="" textlink="">
      <cdr:nvSpPr>
        <cdr:cNvPr id="7" name="Textfeld 3"/>
        <cdr:cNvSpPr txBox="1"/>
      </cdr:nvSpPr>
      <cdr:spPr>
        <a:xfrm xmlns:a="http://schemas.openxmlformats.org/drawingml/2006/main">
          <a:off x="1482328" y="237567"/>
          <a:ext cx="3730088" cy="3703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800" b="1">
              <a:latin typeface="Arial" panose="020B0604020202020204" pitchFamily="34" charset="0"/>
              <a:cs typeface="Arial" panose="020B0604020202020204" pitchFamily="34" charset="0"/>
            </a:rPr>
            <a:t>Kostenstruktur</a:t>
          </a:r>
          <a:r>
            <a:rPr lang="de-DE" sz="1800" b="1" baseline="0">
              <a:latin typeface="Arial" panose="020B0604020202020204" pitchFamily="34" charset="0"/>
              <a:cs typeface="Arial" panose="020B0604020202020204" pitchFamily="34" charset="0"/>
            </a:rPr>
            <a:t> Hühnermast Mobilstall</a:t>
          </a:r>
          <a:endParaRPr lang="de-DE" sz="18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1</xdr:col>
      <xdr:colOff>77638</xdr:colOff>
      <xdr:row>1</xdr:row>
      <xdr:rowOff>17253</xdr:rowOff>
    </xdr:from>
    <xdr:to>
      <xdr:col>1</xdr:col>
      <xdr:colOff>727268</xdr:colOff>
      <xdr:row>2</xdr:row>
      <xdr:rowOff>20298</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078" y="93453"/>
          <a:ext cx="649630" cy="460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1457864</xdr:colOff>
      <xdr:row>17</xdr:row>
      <xdr:rowOff>0</xdr:rowOff>
    </xdr:from>
    <xdr:ext cx="184731" cy="264560"/>
    <xdr:sp macro="" textlink="">
      <xdr:nvSpPr>
        <xdr:cNvPr id="7" name="Textfeld 6"/>
        <xdr:cNvSpPr txBox="1"/>
      </xdr:nvSpPr>
      <xdr:spPr>
        <a:xfrm>
          <a:off x="1549304" y="3345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10</xdr:col>
      <xdr:colOff>81189</xdr:colOff>
      <xdr:row>41</xdr:row>
      <xdr:rowOff>1</xdr:rowOff>
    </xdr:from>
    <xdr:to>
      <xdr:col>10</xdr:col>
      <xdr:colOff>263866</xdr:colOff>
      <xdr:row>52</xdr:row>
      <xdr:rowOff>213124</xdr:rowOff>
    </xdr:to>
    <xdr:sp macro="" textlink="">
      <xdr:nvSpPr>
        <xdr:cNvPr id="8" name="Geschweifte Klammer rechts 7"/>
        <xdr:cNvSpPr/>
      </xdr:nvSpPr>
      <xdr:spPr bwMode="auto">
        <a:xfrm>
          <a:off x="11617869" y="9418321"/>
          <a:ext cx="182677" cy="3040143"/>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twoCellAnchor>
    <xdr:from>
      <xdr:col>10</xdr:col>
      <xdr:colOff>81191</xdr:colOff>
      <xdr:row>53</xdr:row>
      <xdr:rowOff>0</xdr:rowOff>
    </xdr:from>
    <xdr:to>
      <xdr:col>10</xdr:col>
      <xdr:colOff>263867</xdr:colOff>
      <xdr:row>62</xdr:row>
      <xdr:rowOff>30447</xdr:rowOff>
    </xdr:to>
    <xdr:sp macro="" textlink="">
      <xdr:nvSpPr>
        <xdr:cNvPr id="9" name="Geschweifte Klammer rechts 8"/>
        <xdr:cNvSpPr/>
      </xdr:nvSpPr>
      <xdr:spPr bwMode="auto">
        <a:xfrm>
          <a:off x="11617871" y="12557760"/>
          <a:ext cx="182676" cy="2285967"/>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526211</xdr:colOff>
      <xdr:row>7</xdr:row>
      <xdr:rowOff>396815</xdr:rowOff>
    </xdr:from>
    <xdr:to>
      <xdr:col>10</xdr:col>
      <xdr:colOff>0</xdr:colOff>
      <xdr:row>9</xdr:row>
      <xdr:rowOff>2104845</xdr:rowOff>
    </xdr:to>
    <xdr:pic>
      <xdr:nvPicPr>
        <xdr:cNvPr id="2847989"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2981" y="1621766"/>
          <a:ext cx="3812876" cy="3157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724619</xdr:colOff>
      <xdr:row>2</xdr:row>
      <xdr:rowOff>17253</xdr:rowOff>
    </xdr:to>
    <xdr:pic>
      <xdr:nvPicPr>
        <xdr:cNvPr id="2847990"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396" y="172528"/>
          <a:ext cx="724619" cy="50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25879</xdr:rowOff>
    </xdr:from>
    <xdr:to>
      <xdr:col>0</xdr:col>
      <xdr:colOff>0</xdr:colOff>
      <xdr:row>37</xdr:row>
      <xdr:rowOff>60385</xdr:rowOff>
    </xdr:to>
    <xdr:sp macro="" textlink="">
      <xdr:nvSpPr>
        <xdr:cNvPr id="4104199" name="Zeichnung 1"/>
        <xdr:cNvSpPr>
          <a:spLocks/>
        </xdr:cNvSpPr>
      </xdr:nvSpPr>
      <xdr:spPr bwMode="auto">
        <a:xfrm>
          <a:off x="0" y="24317864"/>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77638</xdr:colOff>
      <xdr:row>1</xdr:row>
      <xdr:rowOff>17253</xdr:rowOff>
    </xdr:from>
    <xdr:to>
      <xdr:col>1</xdr:col>
      <xdr:colOff>727268</xdr:colOff>
      <xdr:row>2</xdr:row>
      <xdr:rowOff>20298</xdr:rowOff>
    </xdr:to>
    <xdr:pic>
      <xdr:nvPicPr>
        <xdr:cNvPr id="410420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77" y="98442"/>
          <a:ext cx="649630" cy="459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1457864</xdr:colOff>
      <xdr:row>17</xdr:row>
      <xdr:rowOff>0</xdr:rowOff>
    </xdr:from>
    <xdr:ext cx="184731" cy="264560"/>
    <xdr:sp macro="" textlink="">
      <xdr:nvSpPr>
        <xdr:cNvPr id="2" name="Textfeld 1"/>
        <xdr:cNvSpPr txBox="1"/>
      </xdr:nvSpPr>
      <xdr:spPr>
        <a:xfrm>
          <a:off x="1552755" y="170544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10</xdr:col>
      <xdr:colOff>81189</xdr:colOff>
      <xdr:row>41</xdr:row>
      <xdr:rowOff>1</xdr:rowOff>
    </xdr:from>
    <xdr:to>
      <xdr:col>10</xdr:col>
      <xdr:colOff>263866</xdr:colOff>
      <xdr:row>52</xdr:row>
      <xdr:rowOff>213124</xdr:rowOff>
    </xdr:to>
    <xdr:sp macro="" textlink="">
      <xdr:nvSpPr>
        <xdr:cNvPr id="3" name="Geschweifte Klammer rechts 2"/>
        <xdr:cNvSpPr/>
      </xdr:nvSpPr>
      <xdr:spPr bwMode="auto">
        <a:xfrm>
          <a:off x="11376718" y="9570247"/>
          <a:ext cx="182677" cy="3115658"/>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twoCellAnchor>
    <xdr:from>
      <xdr:col>10</xdr:col>
      <xdr:colOff>81191</xdr:colOff>
      <xdr:row>53</xdr:row>
      <xdr:rowOff>0</xdr:rowOff>
    </xdr:from>
    <xdr:to>
      <xdr:col>10</xdr:col>
      <xdr:colOff>263867</xdr:colOff>
      <xdr:row>62</xdr:row>
      <xdr:rowOff>30447</xdr:rowOff>
    </xdr:to>
    <xdr:sp macro="" textlink="">
      <xdr:nvSpPr>
        <xdr:cNvPr id="6" name="Geschweifte Klammer rechts 5"/>
        <xdr:cNvSpPr/>
      </xdr:nvSpPr>
      <xdr:spPr bwMode="auto">
        <a:xfrm>
          <a:off x="11376720" y="12736648"/>
          <a:ext cx="182676" cy="2374803"/>
        </a:xfrm>
        <a:prstGeom prst="righ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8627</xdr:colOff>
      <xdr:row>28</xdr:row>
      <xdr:rowOff>2</xdr:rowOff>
    </xdr:from>
    <xdr:to>
      <xdr:col>11</xdr:col>
      <xdr:colOff>750499</xdr:colOff>
      <xdr:row>52</xdr:row>
      <xdr:rowOff>43134</xdr:rowOff>
    </xdr:to>
    <xdr:graphicFrame macro="">
      <xdr:nvGraphicFramePr>
        <xdr:cNvPr id="2661227"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146648</xdr:colOff>
      <xdr:row>3</xdr:row>
      <xdr:rowOff>181154</xdr:rowOff>
    </xdr:from>
    <xdr:to>
      <xdr:col>6</xdr:col>
      <xdr:colOff>362308</xdr:colOff>
      <xdr:row>27</xdr:row>
      <xdr:rowOff>69011</xdr:rowOff>
    </xdr:to>
    <xdr:graphicFrame macro="">
      <xdr:nvGraphicFramePr>
        <xdr:cNvPr id="2661225"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162279</xdr:colOff>
      <xdr:row>3</xdr:row>
      <xdr:rowOff>122273</xdr:rowOff>
    </xdr:from>
    <xdr:to>
      <xdr:col>21</xdr:col>
      <xdr:colOff>682613</xdr:colOff>
      <xdr:row>48</xdr:row>
      <xdr:rowOff>25630</xdr:rowOff>
    </xdr:to>
    <xdr:graphicFrame macro="">
      <xdr:nvGraphicFramePr>
        <xdr:cNvPr id="2661229"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120770</xdr:colOff>
      <xdr:row>2</xdr:row>
      <xdr:rowOff>25879</xdr:rowOff>
    </xdr:from>
    <xdr:to>
      <xdr:col>2</xdr:col>
      <xdr:colOff>25879</xdr:colOff>
      <xdr:row>3</xdr:row>
      <xdr:rowOff>17253</xdr:rowOff>
    </xdr:to>
    <xdr:pic>
      <xdr:nvPicPr>
        <xdr:cNvPr id="2661230"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419" y="258792"/>
          <a:ext cx="664234" cy="5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384312</xdr:colOff>
      <xdr:row>3</xdr:row>
      <xdr:rowOff>189781</xdr:rowOff>
    </xdr:from>
    <xdr:to>
      <xdr:col>11</xdr:col>
      <xdr:colOff>746622</xdr:colOff>
      <xdr:row>27</xdr:row>
      <xdr:rowOff>77638</xdr:rowOff>
    </xdr:to>
    <xdr:graphicFrame macro="">
      <xdr:nvGraphicFramePr>
        <xdr:cNvPr id="11"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0.75324</cdr:x>
      <cdr:y>0.02872</cdr:y>
    </cdr:from>
    <cdr:to>
      <cdr:x>0.93029</cdr:x>
      <cdr:y>0.09463</cdr:y>
    </cdr:to>
    <cdr:sp macro="" textlink="">
      <cdr:nvSpPr>
        <cdr:cNvPr id="14338" name="Text Box 2"/>
        <cdr:cNvSpPr txBox="1">
          <a:spLocks xmlns:a="http://schemas.openxmlformats.org/drawingml/2006/main" noChangeArrowheads="1"/>
        </cdr:cNvSpPr>
      </cdr:nvSpPr>
      <cdr:spPr bwMode="auto">
        <a:xfrm xmlns:a="http://schemas.openxmlformats.org/drawingml/2006/main">
          <a:off x="6276820" y="146649"/>
          <a:ext cx="1475379" cy="3365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0" rIns="0" bIns="32004"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€/kg LG </a:t>
          </a:r>
        </a:p>
      </cdr:txBody>
    </cdr:sp>
  </cdr:relSizeAnchor>
  <cdr:relSizeAnchor xmlns:cdr="http://schemas.openxmlformats.org/drawingml/2006/chartDrawing">
    <cdr:from>
      <cdr:x>0.43685</cdr:x>
      <cdr:y>0.08132</cdr:y>
    </cdr:from>
    <cdr:to>
      <cdr:x>0.51863</cdr:x>
      <cdr:y>0.14773</cdr:y>
    </cdr:to>
    <cdr:sp macro="" textlink="Hühnermast!#REF!">
      <cdr:nvSpPr>
        <cdr:cNvPr id="14340"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 </a:t>
          </a:fld>
          <a:endParaRPr lang="de-DE" sz="1600"/>
        </a:p>
      </cdr:txBody>
    </cdr:sp>
  </cdr:relSizeAnchor>
  <cdr:relSizeAnchor xmlns:cdr="http://schemas.openxmlformats.org/drawingml/2006/chartDrawing">
    <cdr:from>
      <cdr:x>0.43685</cdr:x>
      <cdr:y>0.08132</cdr:y>
    </cdr:from>
    <cdr:to>
      <cdr:x>0.51863</cdr:x>
      <cdr:y>0.14773</cdr:y>
    </cdr:to>
    <cdr:sp macro="" textlink="Hühnermast!#REF!">
      <cdr:nvSpPr>
        <cdr:cNvPr id="5"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 </a:t>
          </a:fld>
          <a:endParaRPr lang="de-DE" sz="1600"/>
        </a:p>
      </cdr:txBody>
    </cdr:sp>
  </cdr:relSizeAnchor>
  <cdr:relSizeAnchor xmlns:cdr="http://schemas.openxmlformats.org/drawingml/2006/chartDrawing">
    <cdr:from>
      <cdr:x>0.43685</cdr:x>
      <cdr:y>0.08132</cdr:y>
    </cdr:from>
    <cdr:to>
      <cdr:x>0.51863</cdr:x>
      <cdr:y>0.14773</cdr:y>
    </cdr:to>
    <cdr:sp macro="" textlink="Hühnermast!#REF!">
      <cdr:nvSpPr>
        <cdr:cNvPr id="10"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 </a:t>
          </a:fld>
          <a:endParaRPr lang="de-DE" sz="1600"/>
        </a:p>
      </cdr:txBody>
    </cdr:sp>
  </cdr:relSizeAnchor>
  <cdr:relSizeAnchor xmlns:cdr="http://schemas.openxmlformats.org/drawingml/2006/chartDrawing">
    <cdr:from>
      <cdr:x>0.69547</cdr:x>
      <cdr:y>0.03105</cdr:y>
    </cdr:from>
    <cdr:to>
      <cdr:x>0.76679</cdr:x>
      <cdr:y>0.09746</cdr:y>
    </cdr:to>
    <cdr:sp macro="" textlink="Hühnermast!$E$21">
      <cdr:nvSpPr>
        <cdr:cNvPr id="13" name="Text Box 3"/>
        <cdr:cNvSpPr txBox="1">
          <a:spLocks xmlns:a="http://schemas.openxmlformats.org/drawingml/2006/main" noChangeArrowheads="1" noTextEdit="1"/>
        </cdr:cNvSpPr>
      </cdr:nvSpPr>
      <cdr:spPr bwMode="auto">
        <a:xfrm xmlns:a="http://schemas.openxmlformats.org/drawingml/2006/main">
          <a:off x="5795424" y="158577"/>
          <a:ext cx="594318"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22D05356-F3F0-492B-B4AD-ED9F581AD101}" type="TxLink">
            <a:rPr lang="de-DE" sz="1600" b="1" i="0" u="none" strike="noStrike" baseline="0">
              <a:solidFill>
                <a:srgbClr val="000000"/>
              </a:solidFill>
              <a:latin typeface="Arial"/>
              <a:cs typeface="Arial"/>
            </a:rPr>
            <a:pPr algn="ctr" rtl="0">
              <a:defRPr sz="1000"/>
            </a:pPr>
            <a:t>2,80</a:t>
          </a:fld>
          <a:endParaRPr lang="de-DE" sz="1600" b="1" i="0" u="none" strike="noStrike" baseline="0">
            <a:solidFill>
              <a:srgbClr val="000000"/>
            </a:solidFill>
            <a:latin typeface="Arial"/>
            <a:cs typeface="Arial"/>
          </a:endParaRPr>
        </a:p>
      </cdr:txBody>
    </cdr:sp>
  </cdr:relSizeAnchor>
  <cdr:relSizeAnchor xmlns:cdr="http://schemas.openxmlformats.org/drawingml/2006/chartDrawing">
    <cdr:from>
      <cdr:x>0.43685</cdr:x>
      <cdr:y>0.08132</cdr:y>
    </cdr:from>
    <cdr:to>
      <cdr:x>0.51863</cdr:x>
      <cdr:y>0.14773</cdr:y>
    </cdr:to>
    <cdr:sp macro="" textlink="Hühnermast!#REF!">
      <cdr:nvSpPr>
        <cdr:cNvPr id="14"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 </a:t>
          </a:fld>
          <a:endParaRPr lang="de-DE" sz="1600"/>
        </a:p>
      </cdr:txBody>
    </cdr:sp>
  </cdr:relSizeAnchor>
  <cdr:relSizeAnchor xmlns:cdr="http://schemas.openxmlformats.org/drawingml/2006/chartDrawing">
    <cdr:from>
      <cdr:x>0.27329</cdr:x>
      <cdr:y>0.0777</cdr:y>
    </cdr:from>
    <cdr:to>
      <cdr:x>0.6118</cdr:x>
      <cdr:y>0.14527</cdr:y>
    </cdr:to>
    <cdr:sp macro="" textlink="">
      <cdr:nvSpPr>
        <cdr:cNvPr id="6" name="Textfeld 5"/>
        <cdr:cNvSpPr txBox="1"/>
      </cdr:nvSpPr>
      <cdr:spPr>
        <a:xfrm xmlns:a="http://schemas.openxmlformats.org/drawingml/2006/main">
          <a:off x="2277373" y="396813"/>
          <a:ext cx="2820837" cy="345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600" b="1">
              <a:latin typeface="Arial" panose="020B0604020202020204" pitchFamily="34" charset="0"/>
              <a:cs typeface="Arial" panose="020B0604020202020204" pitchFamily="34" charset="0"/>
            </a:rPr>
            <a:t>je 100 Mastplätze und Jahr</a:t>
          </a:r>
        </a:p>
      </cdr:txBody>
    </cdr:sp>
  </cdr:relSizeAnchor>
</c:userShapes>
</file>

<file path=xl/drawings/drawing6.xml><?xml version="1.0" encoding="utf-8"?>
<c:userShapes xmlns:c="http://schemas.openxmlformats.org/drawingml/2006/chart">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0.1201</cdr:x>
      <cdr:y>0.00384</cdr:y>
    </cdr:from>
    <cdr:to>
      <cdr:x>0.87529</cdr:x>
      <cdr:y>0.15425</cdr:y>
    </cdr:to>
    <cdr:sp macro="" textlink="">
      <cdr:nvSpPr>
        <cdr:cNvPr id="5" name="Textfeld 1"/>
        <cdr:cNvSpPr txBox="1"/>
      </cdr:nvSpPr>
      <cdr:spPr>
        <a:xfrm xmlns:a="http://schemas.openxmlformats.org/drawingml/2006/main">
          <a:off x="499374" y="16294"/>
          <a:ext cx="3140015" cy="6383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600" b="1"/>
            <a:t>Wirtschaftlichkeit</a:t>
          </a:r>
          <a:r>
            <a:rPr lang="de-DE" sz="1600" b="1" baseline="0"/>
            <a:t> der Hühnermast</a:t>
          </a:r>
          <a:endParaRPr lang="de-DE" sz="1600" b="1"/>
        </a:p>
      </cdr:txBody>
    </cdr:sp>
  </cdr:relSizeAnchor>
</c:userShapes>
</file>

<file path=xl/drawings/drawing7.xml><?xml version="1.0" encoding="utf-8"?>
<c:userShapes xmlns:c="http://schemas.openxmlformats.org/drawingml/2006/chart">
  <cdr:relSizeAnchor xmlns:cdr="http://schemas.openxmlformats.org/drawingml/2006/chartDrawing">
    <cdr:from>
      <cdr:x>0.67452</cdr:x>
      <cdr:y>0.14876</cdr:y>
    </cdr:from>
    <cdr:to>
      <cdr:x>0.74657</cdr:x>
      <cdr:y>0.20015</cdr:y>
    </cdr:to>
    <cdr:sp macro="" textlink="Hühnermast!$H$41">
      <cdr:nvSpPr>
        <cdr:cNvPr id="2" name="Textfeld 1"/>
        <cdr:cNvSpPr txBox="1"/>
      </cdr:nvSpPr>
      <cdr:spPr>
        <a:xfrm xmlns:a="http://schemas.openxmlformats.org/drawingml/2006/main">
          <a:off x="5149845" y="1157939"/>
          <a:ext cx="550090" cy="400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E6F0B49-41FE-4357-9CFA-F10291BFE40F}" type="TxLink">
            <a:rPr lang="en-US" sz="1800" b="1" i="0" u="none" strike="noStrike">
              <a:solidFill>
                <a:sysClr val="windowText" lastClr="000000"/>
              </a:solidFill>
              <a:latin typeface="Arial"/>
              <a:cs typeface="Arial"/>
            </a:rPr>
            <a:pPr/>
            <a:t>2,5</a:t>
          </a:fld>
          <a:endParaRPr lang="de-DE" sz="1400">
            <a:solidFill>
              <a:sysClr val="windowText" lastClr="000000"/>
            </a:solidFill>
          </a:endParaRPr>
        </a:p>
      </cdr:txBody>
    </cdr:sp>
  </cdr:relSizeAnchor>
  <cdr:relSizeAnchor xmlns:cdr="http://schemas.openxmlformats.org/drawingml/2006/chartDrawing">
    <cdr:from>
      <cdr:x>0.03589</cdr:x>
      <cdr:y>0.20818</cdr:y>
    </cdr:from>
    <cdr:to>
      <cdr:x>0.12432</cdr:x>
      <cdr:y>0.24031</cdr:y>
    </cdr:to>
    <cdr:sp macro="" textlink="">
      <cdr:nvSpPr>
        <cdr:cNvPr id="3" name="Textfeld 2"/>
        <cdr:cNvSpPr txBox="1"/>
      </cdr:nvSpPr>
      <cdr:spPr>
        <a:xfrm xmlns:a="http://schemas.openxmlformats.org/drawingml/2006/main">
          <a:off x="274043" y="1620515"/>
          <a:ext cx="675111" cy="250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0.18474</cdr:x>
      <cdr:y>0.14872</cdr:y>
    </cdr:from>
    <cdr:to>
      <cdr:x>0.75295</cdr:x>
      <cdr:y>0.21458</cdr:y>
    </cdr:to>
    <cdr:sp macro="" textlink="">
      <cdr:nvSpPr>
        <cdr:cNvPr id="4" name="Textfeld 3"/>
        <cdr:cNvSpPr txBox="1"/>
      </cdr:nvSpPr>
      <cdr:spPr>
        <a:xfrm xmlns:a="http://schemas.openxmlformats.org/drawingml/2006/main">
          <a:off x="1364116" y="1136567"/>
          <a:ext cx="4195639" cy="503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800" b="1">
              <a:latin typeface="Arial" panose="020B0604020202020204" pitchFamily="34" charset="0"/>
              <a:cs typeface="Arial" panose="020B0604020202020204" pitchFamily="34" charset="0"/>
            </a:rPr>
            <a:t>bei einer</a:t>
          </a:r>
          <a:r>
            <a:rPr lang="de-DE" sz="1800" b="1" baseline="0">
              <a:latin typeface="Arial" panose="020B0604020202020204" pitchFamily="34" charset="0"/>
              <a:cs typeface="Arial" panose="020B0604020202020204" pitchFamily="34" charset="0"/>
            </a:rPr>
            <a:t> Futterverwertung von 1:</a:t>
          </a:r>
          <a:endParaRPr lang="de-DE" sz="1800" b="1">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0.09751</cdr:x>
      <cdr:y>0.04044</cdr:y>
    </cdr:from>
    <cdr:to>
      <cdr:x>0.91079</cdr:x>
      <cdr:y>0.24797</cdr:y>
    </cdr:to>
    <cdr:sp macro="" textlink="">
      <cdr:nvSpPr>
        <cdr:cNvPr id="15362" name="Text Box 2"/>
        <cdr:cNvSpPr txBox="1">
          <a:spLocks xmlns:a="http://schemas.openxmlformats.org/drawingml/2006/main" noChangeArrowheads="1"/>
        </cdr:cNvSpPr>
      </cdr:nvSpPr>
      <cdr:spPr bwMode="auto">
        <a:xfrm xmlns:a="http://schemas.openxmlformats.org/drawingml/2006/main">
          <a:off x="405444" y="171633"/>
          <a:ext cx="3381554" cy="880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mn-lt"/>
              <a:ea typeface="+mn-ea"/>
              <a:cs typeface="+mn-cs"/>
            </a:rPr>
            <a:t>Erforderlicher Preis je kg LG bei Deckung aller Vollkosten </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mn-lt"/>
              <a:ea typeface="+mn-ea"/>
              <a:cs typeface="+mn-cs"/>
            </a:rPr>
            <a:t>(netto, ohne Prämien)</a:t>
          </a:r>
        </a:p>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0.1201</cdr:x>
      <cdr:y>0.00384</cdr:y>
    </cdr:from>
    <cdr:to>
      <cdr:x>0.87529</cdr:x>
      <cdr:y>0.15425</cdr:y>
    </cdr:to>
    <cdr:sp macro="" textlink="">
      <cdr:nvSpPr>
        <cdr:cNvPr id="5" name="Textfeld 1"/>
        <cdr:cNvSpPr txBox="1"/>
      </cdr:nvSpPr>
      <cdr:spPr>
        <a:xfrm xmlns:a="http://schemas.openxmlformats.org/drawingml/2006/main">
          <a:off x="499374" y="16294"/>
          <a:ext cx="3140015" cy="6383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de-DE" sz="1600" b="1"/>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530524</xdr:colOff>
      <xdr:row>22</xdr:row>
      <xdr:rowOff>81951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6</xdr:col>
      <xdr:colOff>483079</xdr:colOff>
      <xdr:row>45</xdr:row>
      <xdr:rowOff>81951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tabSelected="1" zoomScale="130" zoomScaleNormal="130" workbookViewId="0">
      <selection activeCell="B2" sqref="B2"/>
    </sheetView>
  </sheetViews>
  <sheetFormatPr baseColWidth="10" defaultColWidth="11.33203125" defaultRowHeight="13.2" x14ac:dyDescent="0.25"/>
  <cols>
    <col min="1" max="1" width="1.33203125" style="26" customWidth="1"/>
    <col min="2" max="2" width="33.33203125" style="11" customWidth="1"/>
    <col min="3" max="3" width="11.77734375" style="11" customWidth="1"/>
    <col min="4" max="4" width="11.109375" style="11" customWidth="1"/>
    <col min="5" max="5" width="46.6640625" style="11" customWidth="1"/>
    <col min="6" max="6" width="19.21875" style="11" customWidth="1"/>
    <col min="7" max="7" width="11.109375" style="11" customWidth="1"/>
    <col min="8" max="8" width="22.77734375" style="11" customWidth="1"/>
    <col min="9" max="9" width="9.77734375" style="11" customWidth="1"/>
    <col min="10" max="10" width="8.33203125" style="11" customWidth="1"/>
    <col min="11" max="11" width="2.33203125" style="1" customWidth="1"/>
    <col min="12" max="12" width="8.88671875" style="1" customWidth="1"/>
    <col min="13" max="16384" width="11.33203125" style="1"/>
  </cols>
  <sheetData>
    <row r="1" spans="1:13" ht="7.5" customHeight="1" thickBot="1" x14ac:dyDescent="0.35">
      <c r="B1" s="10"/>
      <c r="C1" s="10"/>
      <c r="D1" s="10"/>
      <c r="E1" s="10"/>
      <c r="F1" s="10"/>
      <c r="G1" s="10"/>
      <c r="H1" s="10"/>
      <c r="I1" s="10"/>
      <c r="J1" s="10"/>
      <c r="K1" s="2"/>
      <c r="L1" s="2"/>
      <c r="M1" s="2"/>
    </row>
    <row r="2" spans="1:13" ht="72" customHeight="1" x14ac:dyDescent="0.3">
      <c r="B2" s="186"/>
      <c r="C2" s="439" t="s">
        <v>84</v>
      </c>
      <c r="D2" s="439"/>
      <c r="E2" s="439"/>
      <c r="F2" s="439"/>
      <c r="G2" s="187"/>
      <c r="H2" s="188"/>
      <c r="I2" s="10"/>
      <c r="J2" s="10"/>
      <c r="K2" s="2"/>
      <c r="L2" s="2"/>
      <c r="M2" s="2"/>
    </row>
    <row r="3" spans="1:13" ht="32.549999999999997" customHeight="1" thickBot="1" x14ac:dyDescent="0.35">
      <c r="B3" s="444" t="s">
        <v>207</v>
      </c>
      <c r="C3" s="445"/>
      <c r="D3" s="445"/>
      <c r="E3" s="445"/>
      <c r="F3" s="445"/>
      <c r="G3" s="445"/>
      <c r="H3" s="189" t="str">
        <f>Hühnermast!H2</f>
        <v xml:space="preserve">Vers. 01/2018
</v>
      </c>
      <c r="I3" s="10"/>
      <c r="J3" s="10"/>
      <c r="K3" s="2"/>
      <c r="L3" s="2"/>
      <c r="M3" s="2"/>
    </row>
    <row r="4" spans="1:13" s="28" customFormat="1" ht="7.5" customHeight="1" thickBot="1" x14ac:dyDescent="0.3">
      <c r="A4" s="27"/>
    </row>
    <row r="5" spans="1:13" s="28" customFormat="1" ht="22.8" x14ac:dyDescent="0.4">
      <c r="A5" s="27"/>
      <c r="B5" s="281" t="s">
        <v>37</v>
      </c>
      <c r="C5" s="282"/>
      <c r="D5" s="282"/>
      <c r="E5" s="282"/>
      <c r="F5" s="282"/>
      <c r="G5" s="282"/>
      <c r="H5" s="283"/>
    </row>
    <row r="6" spans="1:13" s="28" customFormat="1" ht="20.399999999999999" x14ac:dyDescent="0.35">
      <c r="A6" s="27"/>
      <c r="B6" s="284" t="s">
        <v>154</v>
      </c>
      <c r="C6" s="285"/>
      <c r="D6" s="285"/>
      <c r="E6" s="285"/>
      <c r="F6" s="286"/>
      <c r="G6" s="285"/>
      <c r="H6" s="287"/>
    </row>
    <row r="7" spans="1:13" s="28" customFormat="1" ht="4.8" customHeight="1" x14ac:dyDescent="0.35">
      <c r="A7" s="27"/>
      <c r="B7" s="284"/>
      <c r="C7" s="285"/>
      <c r="D7" s="285"/>
      <c r="E7" s="285"/>
      <c r="F7" s="286"/>
      <c r="G7" s="285"/>
      <c r="H7" s="287"/>
    </row>
    <row r="8" spans="1:13" s="28" customFormat="1" ht="21" x14ac:dyDescent="0.4">
      <c r="A8" s="27"/>
      <c r="B8" s="284" t="s">
        <v>58</v>
      </c>
      <c r="C8" s="184"/>
      <c r="D8" s="184"/>
      <c r="E8" s="285"/>
      <c r="F8" s="286"/>
      <c r="G8" s="285"/>
      <c r="H8" s="287"/>
      <c r="I8" s="185"/>
      <c r="J8" s="30" t="s">
        <v>81</v>
      </c>
    </row>
    <row r="9" spans="1:13" s="28" customFormat="1" ht="20.399999999999999" x14ac:dyDescent="0.35">
      <c r="B9" s="148" t="s">
        <v>76</v>
      </c>
      <c r="C9" s="288"/>
      <c r="D9" s="285"/>
      <c r="E9" s="285"/>
      <c r="F9" s="286"/>
      <c r="G9" s="285"/>
      <c r="H9" s="287"/>
    </row>
    <row r="10" spans="1:13" s="28" customFormat="1" ht="20.399999999999999" x14ac:dyDescent="0.35">
      <c r="B10" s="148" t="s">
        <v>77</v>
      </c>
      <c r="C10" s="286"/>
      <c r="D10" s="286"/>
      <c r="E10" s="286"/>
      <c r="F10" s="286"/>
      <c r="G10" s="286"/>
      <c r="H10" s="289"/>
    </row>
    <row r="11" spans="1:13" s="28" customFormat="1" ht="21" x14ac:dyDescent="0.4">
      <c r="B11" s="290" t="s">
        <v>78</v>
      </c>
      <c r="C11" s="291"/>
      <c r="D11" s="286"/>
      <c r="E11" s="286"/>
      <c r="F11" s="286"/>
      <c r="G11" s="286"/>
      <c r="H11" s="289"/>
    </row>
    <row r="12" spans="1:13" s="28" customFormat="1" ht="21" x14ac:dyDescent="0.4">
      <c r="B12" s="290" t="s">
        <v>200</v>
      </c>
      <c r="C12" s="291"/>
      <c r="D12" s="286"/>
      <c r="E12" s="286"/>
      <c r="F12" s="286"/>
      <c r="G12" s="286"/>
      <c r="H12" s="289"/>
    </row>
    <row r="13" spans="1:13" s="28" customFormat="1" ht="20.399999999999999" x14ac:dyDescent="0.35">
      <c r="B13" s="290" t="s">
        <v>153</v>
      </c>
      <c r="C13" s="286"/>
      <c r="D13" s="286"/>
      <c r="E13" s="286"/>
      <c r="F13" s="286"/>
      <c r="G13" s="286"/>
      <c r="H13" s="289"/>
    </row>
    <row r="14" spans="1:13" s="28" customFormat="1" ht="24" customHeight="1" x14ac:dyDescent="0.35">
      <c r="B14" s="148" t="s">
        <v>114</v>
      </c>
      <c r="C14" s="286"/>
      <c r="D14" s="286"/>
      <c r="E14" s="286"/>
      <c r="F14" s="286"/>
      <c r="G14" s="286"/>
      <c r="H14" s="289"/>
    </row>
    <row r="15" spans="1:13" s="28" customFormat="1" ht="43.5" customHeight="1" x14ac:dyDescent="0.35">
      <c r="A15" s="27"/>
      <c r="B15" s="440" t="s">
        <v>179</v>
      </c>
      <c r="C15" s="441"/>
      <c r="D15" s="441"/>
      <c r="E15" s="441"/>
      <c r="F15" s="441"/>
      <c r="G15" s="441"/>
      <c r="H15" s="442"/>
    </row>
    <row r="16" spans="1:13" s="28" customFormat="1" ht="21" x14ac:dyDescent="0.4">
      <c r="A16" s="27"/>
      <c r="B16" s="440" t="s">
        <v>115</v>
      </c>
      <c r="C16" s="441"/>
      <c r="D16" s="441"/>
      <c r="E16" s="441"/>
      <c r="F16" s="441"/>
      <c r="G16" s="441"/>
      <c r="H16" s="442"/>
    </row>
    <row r="17" spans="1:16" s="28" customFormat="1" ht="40.799999999999997" customHeight="1" x14ac:dyDescent="0.35">
      <c r="A17" s="27"/>
      <c r="B17" s="440" t="s">
        <v>155</v>
      </c>
      <c r="C17" s="441"/>
      <c r="D17" s="441"/>
      <c r="E17" s="441"/>
      <c r="F17" s="441"/>
      <c r="G17" s="441"/>
      <c r="H17" s="442"/>
    </row>
    <row r="18" spans="1:16" s="28" customFormat="1" ht="20.399999999999999" x14ac:dyDescent="0.35">
      <c r="A18" s="27"/>
      <c r="B18" s="290" t="s">
        <v>59</v>
      </c>
      <c r="C18" s="286"/>
      <c r="D18" s="286"/>
      <c r="E18" s="286"/>
      <c r="F18" s="286"/>
      <c r="G18" s="286"/>
      <c r="H18" s="289"/>
    </row>
    <row r="19" spans="1:16" s="28" customFormat="1" ht="20.399999999999999" x14ac:dyDescent="0.35">
      <c r="A19" s="27"/>
      <c r="B19" s="440" t="s">
        <v>75</v>
      </c>
      <c r="C19" s="441"/>
      <c r="D19" s="441"/>
      <c r="E19" s="441"/>
      <c r="F19" s="441"/>
      <c r="G19" s="441"/>
      <c r="H19" s="442"/>
    </row>
    <row r="20" spans="1:16" s="28" customFormat="1" ht="20.399999999999999" x14ac:dyDescent="0.35">
      <c r="A20" s="27"/>
      <c r="B20" s="290" t="s">
        <v>113</v>
      </c>
      <c r="C20" s="286"/>
      <c r="D20" s="286"/>
      <c r="E20" s="286"/>
      <c r="F20" s="171"/>
      <c r="G20" s="171"/>
      <c r="H20" s="172"/>
    </row>
    <row r="21" spans="1:16" s="28" customFormat="1" ht="6.15" customHeight="1" x14ac:dyDescent="0.35">
      <c r="A21" s="27"/>
      <c r="B21" s="290"/>
      <c r="C21" s="286"/>
      <c r="D21" s="286"/>
      <c r="E21" s="286"/>
      <c r="F21" s="286"/>
      <c r="G21" s="286"/>
      <c r="H21" s="289"/>
    </row>
    <row r="22" spans="1:16" s="28" customFormat="1" ht="10.199999999999999" customHeight="1" x14ac:dyDescent="0.35">
      <c r="A22" s="27"/>
      <c r="B22" s="290"/>
      <c r="C22" s="286"/>
      <c r="D22" s="286"/>
      <c r="E22" s="286"/>
      <c r="F22" s="286"/>
      <c r="G22" s="286"/>
      <c r="H22" s="289"/>
    </row>
    <row r="23" spans="1:16" s="28" customFormat="1" ht="22.8" x14ac:dyDescent="0.4">
      <c r="A23" s="27"/>
      <c r="B23" s="292" t="s">
        <v>36</v>
      </c>
      <c r="C23" s="293"/>
      <c r="D23" s="293"/>
      <c r="E23" s="293"/>
      <c r="F23" s="293"/>
      <c r="G23" s="294"/>
      <c r="H23" s="295"/>
    </row>
    <row r="24" spans="1:16" s="28" customFormat="1" ht="21" x14ac:dyDescent="0.4">
      <c r="A24" s="27"/>
      <c r="B24" s="296" t="s">
        <v>180</v>
      </c>
      <c r="C24" s="297"/>
      <c r="D24" s="297"/>
      <c r="E24" s="297"/>
      <c r="F24" s="297"/>
      <c r="G24" s="446" t="s">
        <v>111</v>
      </c>
      <c r="H24" s="447"/>
      <c r="J24" s="246" t="s">
        <v>82</v>
      </c>
    </row>
    <row r="25" spans="1:16" s="28" customFormat="1" ht="21.6" thickBot="1" x14ac:dyDescent="0.45">
      <c r="A25" s="27"/>
      <c r="B25" s="298" t="s">
        <v>156</v>
      </c>
      <c r="C25" s="299"/>
      <c r="D25" s="299"/>
      <c r="E25" s="299"/>
      <c r="F25" s="299"/>
      <c r="G25" s="448" t="s">
        <v>112</v>
      </c>
      <c r="H25" s="449"/>
    </row>
    <row r="26" spans="1:16" ht="31.95" customHeight="1" x14ac:dyDescent="0.25">
      <c r="B26" s="300" t="s">
        <v>201</v>
      </c>
      <c r="C26" s="28"/>
      <c r="D26" s="28"/>
      <c r="E26" s="28"/>
      <c r="F26" s="28"/>
      <c r="G26" s="28"/>
      <c r="H26" s="97"/>
      <c r="I26" s="1"/>
      <c r="J26" s="28"/>
    </row>
    <row r="27" spans="1:16" ht="126" customHeight="1" x14ac:dyDescent="0.25">
      <c r="B27" s="443" t="s">
        <v>208</v>
      </c>
      <c r="C27" s="443"/>
      <c r="D27" s="443"/>
      <c r="E27" s="443"/>
      <c r="F27" s="443"/>
      <c r="G27" s="443"/>
      <c r="H27" s="443"/>
      <c r="I27" s="1"/>
      <c r="J27" s="1"/>
    </row>
    <row r="28" spans="1:16" ht="23.1" customHeight="1" x14ac:dyDescent="0.25">
      <c r="B28" s="1"/>
      <c r="C28" s="1"/>
      <c r="D28" s="1"/>
      <c r="E28" s="1"/>
      <c r="F28" s="1"/>
      <c r="G28" s="1"/>
      <c r="H28" s="1"/>
      <c r="I28" s="1"/>
      <c r="J28" s="1"/>
      <c r="K28" s="245"/>
      <c r="L28" s="245"/>
      <c r="M28" s="245"/>
    </row>
    <row r="29" spans="1:16" ht="23.1" customHeight="1" x14ac:dyDescent="0.25">
      <c r="B29" s="1"/>
      <c r="C29" s="1"/>
      <c r="D29" s="1"/>
      <c r="E29" s="1"/>
      <c r="F29" s="1"/>
      <c r="G29"/>
      <c r="H29"/>
      <c r="I29"/>
      <c r="J29" s="245"/>
      <c r="K29" s="245"/>
      <c r="L29" s="245"/>
      <c r="M29" s="245"/>
      <c r="N29"/>
      <c r="O29"/>
      <c r="P29"/>
    </row>
    <row r="30" spans="1:16" ht="23.1" customHeight="1" x14ac:dyDescent="0.25">
      <c r="B30" s="1"/>
      <c r="C30" s="1"/>
      <c r="D30" s="1"/>
      <c r="E30" s="1"/>
      <c r="F30" s="1"/>
      <c r="G30" s="1"/>
      <c r="H30" s="1"/>
      <c r="I30" s="1"/>
      <c r="J30" s="245"/>
      <c r="K30" s="245"/>
      <c r="L30" s="245"/>
      <c r="M30" s="245"/>
    </row>
    <row r="31" spans="1:16" ht="23.1" customHeight="1" x14ac:dyDescent="0.25">
      <c r="B31" s="1"/>
      <c r="C31" s="1"/>
      <c r="D31" s="1"/>
      <c r="E31" s="1"/>
      <c r="F31" s="1"/>
      <c r="G31" s="1"/>
      <c r="H31" s="1"/>
      <c r="I31" s="1"/>
      <c r="J31" s="245"/>
      <c r="K31" s="245"/>
      <c r="L31" s="245"/>
      <c r="M31" s="245"/>
    </row>
    <row r="32" spans="1:16" ht="23.1" customHeight="1" x14ac:dyDescent="0.25">
      <c r="B32" s="1"/>
      <c r="C32" s="1"/>
      <c r="D32" s="1"/>
      <c r="E32" s="1"/>
      <c r="F32" s="1"/>
      <c r="G32" s="1"/>
      <c r="H32" s="1"/>
      <c r="I32" s="1"/>
      <c r="J32" s="245"/>
      <c r="K32" s="245"/>
      <c r="L32" s="245"/>
      <c r="M32" s="245"/>
    </row>
    <row r="33" spans="2:13" ht="23.1" customHeight="1" x14ac:dyDescent="0.25">
      <c r="B33"/>
      <c r="C33"/>
      <c r="D33"/>
      <c r="E33"/>
      <c r="F33"/>
      <c r="G33"/>
      <c r="H33"/>
      <c r="I33"/>
      <c r="J33" s="245"/>
      <c r="K33" s="245"/>
      <c r="L33" s="245"/>
      <c r="M33" s="245"/>
    </row>
    <row r="34" spans="2:13" ht="23.1" customHeight="1" x14ac:dyDescent="0.25">
      <c r="B34"/>
      <c r="C34"/>
      <c r="D34"/>
      <c r="E34"/>
      <c r="F34"/>
      <c r="G34"/>
      <c r="H34"/>
      <c r="I34"/>
      <c r="J34"/>
    </row>
    <row r="35" spans="2:13" ht="23.1" customHeight="1" x14ac:dyDescent="0.25">
      <c r="B35"/>
      <c r="C35"/>
      <c r="D35"/>
      <c r="E35"/>
      <c r="F35"/>
      <c r="G35"/>
      <c r="H35"/>
      <c r="I35"/>
      <c r="J35"/>
    </row>
    <row r="36" spans="2:13" ht="23.1" customHeight="1" x14ac:dyDescent="0.25">
      <c r="B36"/>
      <c r="C36"/>
      <c r="D36"/>
      <c r="E36"/>
      <c r="F36"/>
      <c r="G36"/>
      <c r="H36"/>
      <c r="I36"/>
      <c r="J36"/>
    </row>
    <row r="37" spans="2:13" ht="31.65" customHeight="1" x14ac:dyDescent="0.25">
      <c r="B37"/>
      <c r="C37"/>
      <c r="D37"/>
      <c r="E37"/>
      <c r="F37"/>
      <c r="G37"/>
      <c r="H37"/>
      <c r="I37"/>
      <c r="J37"/>
    </row>
    <row r="38" spans="2:13" ht="23.1" customHeight="1" x14ac:dyDescent="0.25">
      <c r="B38"/>
      <c r="C38"/>
      <c r="D38"/>
      <c r="E38"/>
      <c r="F38"/>
      <c r="G38"/>
      <c r="H38"/>
      <c r="I38"/>
      <c r="J38"/>
    </row>
    <row r="39" spans="2:13" ht="23.1" customHeight="1" x14ac:dyDescent="0.25">
      <c r="B39"/>
      <c r="C39"/>
      <c r="D39"/>
      <c r="E39"/>
      <c r="F39"/>
      <c r="G39"/>
      <c r="H39"/>
      <c r="I39"/>
      <c r="J39"/>
    </row>
    <row r="40" spans="2:13" ht="27.75" customHeight="1" x14ac:dyDescent="0.25">
      <c r="B40"/>
      <c r="C40"/>
      <c r="D40"/>
      <c r="E40"/>
      <c r="F40"/>
      <c r="G40"/>
      <c r="H40"/>
      <c r="I40"/>
      <c r="J40"/>
    </row>
    <row r="41" spans="2:13" ht="26.4" customHeight="1" x14ac:dyDescent="0.25">
      <c r="B41"/>
      <c r="C41"/>
      <c r="D41"/>
      <c r="E41"/>
      <c r="F41"/>
      <c r="G41"/>
      <c r="H41"/>
      <c r="I41"/>
      <c r="J41"/>
    </row>
    <row r="42" spans="2:13" ht="24.75" customHeight="1" x14ac:dyDescent="0.25">
      <c r="B42"/>
      <c r="C42"/>
      <c r="D42"/>
      <c r="E42"/>
      <c r="F42"/>
      <c r="G42"/>
      <c r="H42"/>
      <c r="I42"/>
      <c r="J42"/>
    </row>
    <row r="43" spans="2:13" ht="39.15" customHeight="1" x14ac:dyDescent="0.25">
      <c r="B43"/>
      <c r="C43"/>
      <c r="D43"/>
      <c r="E43"/>
      <c r="F43"/>
      <c r="G43"/>
      <c r="H43"/>
      <c r="I43"/>
      <c r="J43"/>
    </row>
    <row r="44" spans="2:13" ht="38.25" customHeight="1" x14ac:dyDescent="0.25">
      <c r="B44"/>
      <c r="C44"/>
      <c r="D44"/>
      <c r="E44"/>
      <c r="F44"/>
      <c r="G44"/>
      <c r="H44"/>
      <c r="I44"/>
      <c r="J44"/>
    </row>
    <row r="45" spans="2:13" ht="31.65" customHeight="1" x14ac:dyDescent="0.25">
      <c r="B45"/>
      <c r="C45"/>
      <c r="D45"/>
      <c r="E45"/>
      <c r="F45"/>
      <c r="G45"/>
      <c r="H45"/>
      <c r="I45"/>
      <c r="J45"/>
    </row>
    <row r="46" spans="2:13" ht="23.1" customHeight="1" x14ac:dyDescent="0.25">
      <c r="B46"/>
      <c r="C46"/>
      <c r="D46"/>
      <c r="E46"/>
      <c r="F46"/>
      <c r="G46"/>
      <c r="H46"/>
      <c r="I46"/>
      <c r="J46"/>
    </row>
    <row r="47" spans="2:13" ht="52.5" customHeight="1" x14ac:dyDescent="0.25">
      <c r="B47"/>
      <c r="C47"/>
      <c r="D47"/>
      <c r="E47"/>
      <c r="F47"/>
      <c r="G47"/>
      <c r="H47"/>
      <c r="I47"/>
      <c r="J47"/>
    </row>
    <row r="48" spans="2:13" ht="23.1" customHeight="1" x14ac:dyDescent="0.25">
      <c r="B48"/>
      <c r="C48"/>
      <c r="D48"/>
      <c r="E48"/>
      <c r="F48"/>
      <c r="G48"/>
      <c r="H48"/>
      <c r="I48"/>
      <c r="J48"/>
    </row>
    <row r="49" spans="2:14" ht="23.1" customHeight="1" x14ac:dyDescent="0.25">
      <c r="B49"/>
      <c r="C49"/>
      <c r="D49"/>
      <c r="E49"/>
      <c r="F49"/>
      <c r="G49"/>
      <c r="H49"/>
      <c r="I49"/>
      <c r="J49"/>
    </row>
    <row r="50" spans="2:14" ht="23.1" customHeight="1" x14ac:dyDescent="0.25">
      <c r="B50"/>
      <c r="C50"/>
      <c r="D50"/>
      <c r="E50"/>
      <c r="F50"/>
      <c r="G50"/>
      <c r="H50"/>
      <c r="I50"/>
      <c r="J50"/>
    </row>
    <row r="51" spans="2:14" ht="23.1" customHeight="1" x14ac:dyDescent="0.25">
      <c r="B51"/>
      <c r="C51"/>
      <c r="D51"/>
      <c r="E51"/>
      <c r="F51"/>
      <c r="G51"/>
      <c r="H51"/>
      <c r="I51"/>
      <c r="J51"/>
    </row>
    <row r="52" spans="2:14" ht="23.1" customHeight="1" x14ac:dyDescent="0.25">
      <c r="B52"/>
      <c r="C52"/>
      <c r="D52"/>
      <c r="E52"/>
      <c r="F52"/>
      <c r="G52"/>
      <c r="H52"/>
      <c r="I52"/>
      <c r="J52"/>
    </row>
    <row r="53" spans="2:14" ht="23.1" customHeight="1" x14ac:dyDescent="0.3">
      <c r="B53" s="7"/>
      <c r="C53" s="8"/>
      <c r="D53" s="9"/>
      <c r="E53"/>
      <c r="F53"/>
      <c r="G53"/>
      <c r="H53"/>
      <c r="I53"/>
      <c r="J53"/>
    </row>
    <row r="54" spans="2:14" ht="31.65" customHeight="1" x14ac:dyDescent="0.25">
      <c r="B54"/>
      <c r="C54"/>
      <c r="D54"/>
      <c r="E54"/>
      <c r="F54"/>
      <c r="G54"/>
      <c r="H54"/>
      <c r="I54"/>
      <c r="J54"/>
    </row>
    <row r="55" spans="2:14" ht="22.65" customHeight="1" x14ac:dyDescent="0.25">
      <c r="B55"/>
      <c r="C55"/>
      <c r="D55"/>
      <c r="E55"/>
      <c r="F55"/>
      <c r="G55"/>
      <c r="H55"/>
      <c r="I55"/>
      <c r="J55"/>
    </row>
    <row r="56" spans="2:14" ht="22.65" customHeight="1" x14ac:dyDescent="0.25">
      <c r="B56" s="1"/>
      <c r="C56"/>
      <c r="D56"/>
      <c r="E56"/>
      <c r="F56"/>
      <c r="G56"/>
      <c r="H56"/>
      <c r="I56"/>
      <c r="J56"/>
    </row>
    <row r="57" spans="2:14" ht="22.65" customHeight="1" x14ac:dyDescent="0.25">
      <c r="B57" s="1"/>
      <c r="C57" s="1"/>
      <c r="D57"/>
      <c r="E57"/>
      <c r="F57"/>
      <c r="G57"/>
      <c r="H57"/>
      <c r="I57"/>
      <c r="J57"/>
    </row>
    <row r="58" spans="2:14" ht="22.65" customHeight="1" x14ac:dyDescent="0.25">
      <c r="B58" s="4"/>
      <c r="C58" s="4"/>
      <c r="D58" s="4"/>
      <c r="E58" s="4"/>
      <c r="F58" s="4"/>
      <c r="G58" s="4"/>
      <c r="H58" s="4"/>
      <c r="I58" s="4"/>
      <c r="J58" s="3"/>
      <c r="K58" s="3"/>
      <c r="L58" s="3"/>
      <c r="M58" s="3"/>
      <c r="N58" s="3"/>
    </row>
    <row r="59" spans="2:14" ht="22.65" customHeight="1" x14ac:dyDescent="0.25">
      <c r="B59" s="4"/>
      <c r="C59" s="4"/>
      <c r="D59" s="4"/>
      <c r="E59" s="4"/>
      <c r="F59" s="4"/>
      <c r="G59" s="5"/>
      <c r="H59" s="4"/>
      <c r="I59" s="5"/>
      <c r="J59" s="3"/>
      <c r="K59" s="3"/>
      <c r="L59" s="3"/>
      <c r="M59" s="3"/>
      <c r="N59" s="3"/>
    </row>
    <row r="60" spans="2:14" ht="23.1" customHeight="1" x14ac:dyDescent="0.25">
      <c r="B60" s="4"/>
      <c r="C60" s="4"/>
      <c r="D60" s="4"/>
      <c r="E60" s="4"/>
      <c r="F60" s="4"/>
      <c r="G60" s="5"/>
      <c r="H60" s="4"/>
      <c r="I60" s="5"/>
      <c r="J60" s="3"/>
      <c r="K60" s="3"/>
      <c r="L60" s="3"/>
      <c r="M60" s="3"/>
      <c r="N60" s="3"/>
    </row>
    <row r="61" spans="2:14" ht="23.1" customHeight="1" x14ac:dyDescent="0.25">
      <c r="B61" s="4"/>
      <c r="C61" s="4"/>
      <c r="D61" s="4"/>
      <c r="E61" s="4"/>
      <c r="F61" s="4"/>
      <c r="G61" s="5"/>
      <c r="H61" s="4"/>
      <c r="I61" s="5"/>
      <c r="J61" s="3"/>
      <c r="K61" s="3"/>
      <c r="L61" s="3"/>
      <c r="M61" s="3"/>
      <c r="N61" s="3"/>
    </row>
    <row r="62" spans="2:14" ht="23.1" customHeight="1" x14ac:dyDescent="0.25">
      <c r="B62" s="4"/>
      <c r="C62" s="4"/>
      <c r="D62" s="4"/>
      <c r="E62" s="4"/>
      <c r="F62" s="4"/>
      <c r="G62" s="5"/>
      <c r="H62" s="4"/>
      <c r="I62" s="5"/>
      <c r="J62" s="3"/>
      <c r="K62" s="3"/>
      <c r="L62" s="3"/>
      <c r="M62" s="3"/>
      <c r="N62" s="3"/>
    </row>
    <row r="63" spans="2:14" ht="23.1" customHeight="1" x14ac:dyDescent="0.25">
      <c r="B63" s="4"/>
      <c r="C63" s="4"/>
      <c r="D63" s="4"/>
      <c r="E63" s="4"/>
      <c r="F63" s="4"/>
      <c r="G63" s="5"/>
      <c r="H63" s="4"/>
      <c r="I63" s="5"/>
      <c r="J63" s="3"/>
      <c r="K63" s="3"/>
      <c r="L63" s="3"/>
      <c r="M63" s="3"/>
      <c r="N63" s="3"/>
    </row>
    <row r="64" spans="2:14" ht="23.1" customHeight="1" x14ac:dyDescent="0.25">
      <c r="B64" s="4"/>
      <c r="C64" s="4"/>
      <c r="D64" s="4"/>
      <c r="E64" s="4"/>
      <c r="F64" s="4"/>
      <c r="G64" s="5"/>
      <c r="H64" s="4"/>
      <c r="I64" s="5"/>
      <c r="J64" s="3"/>
      <c r="K64" s="3"/>
      <c r="L64" s="3"/>
      <c r="M64" s="3"/>
      <c r="N64" s="3"/>
    </row>
    <row r="65" spans="2:14" ht="23.1" customHeight="1" x14ac:dyDescent="0.25">
      <c r="B65" s="4"/>
      <c r="C65" s="4"/>
      <c r="D65" s="4"/>
      <c r="E65" s="4"/>
      <c r="F65" s="4"/>
      <c r="G65" s="5"/>
      <c r="H65" s="4"/>
      <c r="I65" s="5"/>
      <c r="J65" s="3"/>
      <c r="K65" s="3"/>
      <c r="L65" s="3"/>
      <c r="M65" s="3"/>
      <c r="N65" s="3"/>
    </row>
    <row r="66" spans="2:14" ht="23.1" customHeight="1" x14ac:dyDescent="0.25">
      <c r="B66" s="4"/>
      <c r="C66" s="4"/>
      <c r="D66" s="4"/>
      <c r="E66" s="4"/>
      <c r="F66" s="4"/>
      <c r="G66" s="5"/>
      <c r="H66" s="4"/>
      <c r="I66" s="5"/>
      <c r="J66" s="3"/>
      <c r="K66" s="3"/>
      <c r="L66" s="3"/>
      <c r="M66" s="3"/>
      <c r="N66" s="3"/>
    </row>
    <row r="67" spans="2:14" ht="23.1" customHeight="1" x14ac:dyDescent="0.25">
      <c r="B67" s="4"/>
      <c r="C67" s="4"/>
      <c r="D67" s="4"/>
      <c r="E67" s="4"/>
      <c r="F67" s="4"/>
      <c r="G67" s="5"/>
      <c r="H67" s="4"/>
      <c r="I67" s="5"/>
      <c r="J67" s="3"/>
      <c r="K67" s="3"/>
      <c r="L67" s="3"/>
      <c r="M67" s="3"/>
      <c r="N67" s="3"/>
    </row>
    <row r="68" spans="2:14" ht="23.1" customHeight="1" x14ac:dyDescent="0.25">
      <c r="B68" s="4"/>
      <c r="C68" s="4"/>
      <c r="D68" s="4"/>
      <c r="E68" s="4"/>
      <c r="F68" s="4"/>
      <c r="G68" s="5"/>
      <c r="H68" s="4"/>
      <c r="I68" s="5"/>
      <c r="J68" s="3"/>
      <c r="K68" s="3"/>
      <c r="L68" s="3"/>
      <c r="M68" s="3"/>
      <c r="N68" s="3"/>
    </row>
    <row r="69" spans="2:14" ht="23.1" customHeight="1" x14ac:dyDescent="0.25">
      <c r="B69" s="4"/>
      <c r="C69" s="6"/>
      <c r="D69" s="4"/>
      <c r="E69" s="4"/>
      <c r="F69" s="4"/>
      <c r="G69" s="5"/>
      <c r="H69" s="4"/>
      <c r="I69" s="5"/>
      <c r="J69" s="3"/>
      <c r="K69" s="3"/>
      <c r="L69" s="3"/>
      <c r="M69" s="3"/>
      <c r="N69" s="3"/>
    </row>
    <row r="70" spans="2:14" ht="23.1" customHeight="1" x14ac:dyDescent="0.25">
      <c r="B70" s="4"/>
      <c r="C70" s="6"/>
      <c r="D70" s="4"/>
      <c r="E70" s="4"/>
      <c r="F70" s="4"/>
      <c r="G70" s="5"/>
      <c r="H70" s="4"/>
      <c r="I70" s="5"/>
      <c r="J70" s="3"/>
      <c r="K70" s="3"/>
      <c r="L70" s="3"/>
      <c r="M70" s="3"/>
      <c r="N70" s="3"/>
    </row>
    <row r="71" spans="2:14" ht="30.75" customHeight="1" x14ac:dyDescent="0.25">
      <c r="B71" s="4"/>
      <c r="C71" s="6"/>
      <c r="D71" s="4"/>
      <c r="E71" s="4"/>
      <c r="F71" s="4"/>
      <c r="G71" s="5"/>
      <c r="H71" s="4"/>
      <c r="I71" s="5"/>
      <c r="J71" s="3"/>
      <c r="K71" s="3"/>
      <c r="L71" s="3"/>
      <c r="M71" s="3"/>
      <c r="N71" s="3"/>
    </row>
    <row r="72" spans="2:14" ht="23.1" customHeight="1" x14ac:dyDescent="0.25">
      <c r="B72" s="18"/>
      <c r="C72" s="19"/>
      <c r="D72" s="20"/>
      <c r="E72" s="21"/>
      <c r="F72" s="22"/>
      <c r="G72" s="5"/>
      <c r="H72" s="4"/>
      <c r="I72" s="5"/>
      <c r="J72" s="3"/>
      <c r="K72" s="3"/>
      <c r="L72" s="3"/>
      <c r="M72" s="3"/>
      <c r="N72" s="3"/>
    </row>
    <row r="73" spans="2:14" ht="23.1" customHeight="1" x14ac:dyDescent="0.25">
      <c r="B73" s="4"/>
      <c r="C73" s="6"/>
      <c r="D73" s="4"/>
      <c r="E73" s="4"/>
      <c r="F73" s="4"/>
      <c r="G73" s="5"/>
      <c r="H73" s="4"/>
      <c r="I73" s="5"/>
      <c r="J73" s="3"/>
      <c r="K73" s="3"/>
      <c r="L73" s="3"/>
      <c r="M73" s="3"/>
      <c r="N73" s="3"/>
    </row>
    <row r="74" spans="2:14" ht="23.1" customHeight="1" x14ac:dyDescent="0.25">
      <c r="B74" s="4"/>
      <c r="C74" s="6"/>
      <c r="D74" s="4"/>
      <c r="E74" s="4"/>
      <c r="F74" s="4"/>
      <c r="G74" s="5"/>
      <c r="H74" s="4"/>
      <c r="I74" s="5"/>
      <c r="J74" s="3"/>
      <c r="K74" s="3"/>
      <c r="L74" s="3"/>
      <c r="M74" s="3"/>
      <c r="N74" s="3"/>
    </row>
    <row r="75" spans="2:14" ht="23.1" customHeight="1" x14ac:dyDescent="0.25">
      <c r="B75" s="4"/>
      <c r="C75" s="6"/>
      <c r="D75" s="4"/>
      <c r="E75" s="4"/>
      <c r="F75" s="4"/>
      <c r="G75" s="5"/>
      <c r="H75" s="4"/>
      <c r="I75" s="5"/>
      <c r="J75" s="3"/>
      <c r="K75" s="3"/>
      <c r="L75" s="3"/>
      <c r="M75" s="3"/>
      <c r="N75" s="3"/>
    </row>
    <row r="76" spans="2:14" ht="23.1" customHeight="1" x14ac:dyDescent="0.25">
      <c r="B76" s="4"/>
      <c r="C76" s="6"/>
      <c r="D76" s="4"/>
      <c r="E76" s="4"/>
      <c r="F76" s="4"/>
      <c r="G76" s="5"/>
      <c r="H76" s="4"/>
      <c r="I76" s="5"/>
      <c r="J76" s="3"/>
      <c r="K76" s="3"/>
      <c r="L76" s="3"/>
      <c r="M76" s="3"/>
      <c r="N76" s="3"/>
    </row>
    <row r="77" spans="2:14" ht="23.1" customHeight="1" x14ac:dyDescent="0.25">
      <c r="B77" s="3"/>
      <c r="C77" s="3"/>
      <c r="D77" s="3"/>
      <c r="E77" s="3"/>
      <c r="F77" s="3"/>
      <c r="G77" s="3"/>
      <c r="H77" s="3"/>
      <c r="I77" s="3"/>
      <c r="J77" s="3"/>
      <c r="K77" s="3"/>
      <c r="L77" s="3"/>
      <c r="M77" s="3"/>
      <c r="N77" s="3"/>
    </row>
    <row r="78" spans="2:14" ht="23.1" customHeight="1" x14ac:dyDescent="0.25">
      <c r="B78" s="3"/>
      <c r="C78" s="3"/>
      <c r="D78" s="3"/>
      <c r="E78" s="3"/>
      <c r="F78" s="3"/>
      <c r="G78" s="3"/>
      <c r="H78" s="3"/>
      <c r="I78" s="3"/>
      <c r="J78" s="3"/>
      <c r="K78" s="3"/>
      <c r="L78" s="3"/>
      <c r="M78" s="3"/>
      <c r="N78" s="3"/>
    </row>
    <row r="79" spans="2:14" ht="23.1" customHeight="1" x14ac:dyDescent="0.25">
      <c r="B79" s="1"/>
      <c r="C79" s="1"/>
      <c r="D79" s="1"/>
      <c r="E79" s="1"/>
      <c r="F79" s="1"/>
      <c r="G79" s="1"/>
      <c r="H79" s="1"/>
      <c r="I79" s="1"/>
      <c r="J79" s="1"/>
    </row>
    <row r="80" spans="2:14" ht="23.1" customHeight="1" x14ac:dyDescent="0.25">
      <c r="B80" s="1"/>
      <c r="C80" s="1"/>
      <c r="D80" s="1"/>
      <c r="E80" s="1"/>
      <c r="F80" s="1"/>
      <c r="G80" s="1"/>
      <c r="H80" s="1"/>
      <c r="I80" s="1"/>
      <c r="J80" s="1"/>
    </row>
    <row r="81" spans="2:10" ht="23.1" customHeight="1" x14ac:dyDescent="0.25">
      <c r="B81" s="1"/>
      <c r="C81" s="1"/>
      <c r="D81" s="1"/>
      <c r="E81" s="1"/>
      <c r="F81" s="1"/>
      <c r="G81" s="1"/>
      <c r="H81" s="1"/>
      <c r="I81" s="1"/>
      <c r="J81" s="1"/>
    </row>
    <row r="82" spans="2:10" ht="23.1" customHeight="1" x14ac:dyDescent="0.25">
      <c r="B82" s="1"/>
      <c r="C82" s="1"/>
      <c r="D82" s="1"/>
      <c r="E82" s="1"/>
      <c r="F82" s="1"/>
      <c r="G82" s="1"/>
      <c r="H82" s="1"/>
      <c r="I82" s="1"/>
      <c r="J82" s="1"/>
    </row>
    <row r="83" spans="2:10" ht="23.1" customHeight="1" x14ac:dyDescent="0.25">
      <c r="B83" s="1"/>
      <c r="C83" s="1"/>
      <c r="D83" s="1"/>
      <c r="E83" s="1"/>
      <c r="F83" s="1"/>
      <c r="G83" s="1"/>
      <c r="H83" s="1"/>
      <c r="I83" s="1"/>
      <c r="J83" s="1"/>
    </row>
    <row r="84" spans="2:10" ht="30.15" customHeight="1" x14ac:dyDescent="0.25">
      <c r="B84" s="1"/>
      <c r="C84" s="1"/>
      <c r="D84" s="1"/>
      <c r="E84" s="1"/>
      <c r="F84" s="1"/>
      <c r="G84" s="1"/>
      <c r="H84" s="1"/>
      <c r="I84" s="1"/>
      <c r="J84" s="1"/>
    </row>
    <row r="85" spans="2:10" ht="23.1" customHeight="1" x14ac:dyDescent="0.25">
      <c r="B85" s="1"/>
      <c r="C85" s="1"/>
      <c r="D85" s="1"/>
      <c r="E85" s="1"/>
      <c r="F85" s="1"/>
      <c r="G85" s="1"/>
      <c r="H85" s="1"/>
      <c r="I85" s="1"/>
      <c r="J85" s="1"/>
    </row>
    <row r="86" spans="2:10" ht="37.5" customHeight="1" x14ac:dyDescent="0.25">
      <c r="B86" s="1"/>
      <c r="C86" s="1"/>
      <c r="D86" s="1"/>
      <c r="E86" s="1"/>
      <c r="F86" s="1"/>
      <c r="G86" s="1"/>
      <c r="H86" s="1"/>
      <c r="I86" s="1"/>
      <c r="J86" s="1"/>
    </row>
    <row r="87" spans="2:10" ht="23.1" customHeight="1" x14ac:dyDescent="0.25">
      <c r="B87" s="1"/>
      <c r="C87" s="1"/>
      <c r="D87" s="1"/>
      <c r="E87" s="1"/>
      <c r="F87" s="1"/>
      <c r="G87" s="1"/>
      <c r="H87" s="1"/>
      <c r="I87" s="1"/>
      <c r="J87" s="1"/>
    </row>
    <row r="88" spans="2:10" ht="23.1" customHeight="1" x14ac:dyDescent="0.25">
      <c r="B88" s="1"/>
      <c r="C88" s="1"/>
      <c r="D88" s="1"/>
      <c r="E88" s="1"/>
      <c r="F88" s="1"/>
      <c r="G88" s="1"/>
      <c r="H88" s="1"/>
      <c r="I88" s="1"/>
      <c r="J88" s="1"/>
    </row>
    <row r="89" spans="2:10" ht="27" customHeight="1" x14ac:dyDescent="0.25">
      <c r="B89" s="1"/>
      <c r="C89" s="1"/>
      <c r="D89" s="1"/>
      <c r="E89" s="1"/>
      <c r="F89" s="1"/>
      <c r="G89" s="1"/>
      <c r="H89" s="1"/>
      <c r="I89" s="1"/>
      <c r="J89" s="1"/>
    </row>
    <row r="90" spans="2:10" ht="27.75" customHeight="1" x14ac:dyDescent="0.25">
      <c r="B90" s="1"/>
      <c r="C90" s="1"/>
      <c r="D90" s="1"/>
      <c r="E90" s="1"/>
      <c r="F90" s="1"/>
      <c r="G90" s="1"/>
      <c r="H90" s="1"/>
      <c r="I90" s="1"/>
      <c r="J90" s="1"/>
    </row>
    <row r="91" spans="2:10" ht="27.75" customHeight="1" x14ac:dyDescent="0.25">
      <c r="B91" s="1"/>
      <c r="C91" s="1"/>
      <c r="D91" s="1"/>
      <c r="E91" s="1"/>
      <c r="F91" s="1"/>
      <c r="G91" s="1"/>
      <c r="H91" s="1"/>
      <c r="I91" s="1"/>
      <c r="J91" s="1"/>
    </row>
    <row r="92" spans="2:10" ht="36" customHeight="1" x14ac:dyDescent="0.25">
      <c r="B92" s="1"/>
      <c r="C92" s="1"/>
      <c r="D92" s="1"/>
      <c r="E92" s="1"/>
      <c r="F92" s="1"/>
      <c r="G92" s="1"/>
      <c r="H92" s="1"/>
      <c r="I92" s="1"/>
      <c r="J92" s="1"/>
    </row>
    <row r="93" spans="2:10" ht="23.1" customHeight="1" x14ac:dyDescent="0.25">
      <c r="B93" s="1"/>
      <c r="C93" s="1"/>
      <c r="D93" s="1"/>
      <c r="E93" s="1"/>
      <c r="F93" s="1"/>
      <c r="G93" s="1"/>
      <c r="H93" s="1"/>
      <c r="I93" s="1"/>
      <c r="J93" s="1"/>
    </row>
    <row r="94" spans="2:10" ht="23.1" customHeight="1" x14ac:dyDescent="0.25">
      <c r="B94" s="1"/>
      <c r="C94" s="1"/>
      <c r="D94" s="1"/>
      <c r="E94" s="1"/>
      <c r="F94" s="1"/>
      <c r="G94" s="1"/>
      <c r="H94" s="1"/>
      <c r="I94" s="1"/>
      <c r="J94" s="1"/>
    </row>
    <row r="95" spans="2:10" x14ac:dyDescent="0.25">
      <c r="B95" s="1"/>
      <c r="C95" s="1"/>
      <c r="D95" s="1"/>
      <c r="E95" s="1"/>
      <c r="F95" s="1"/>
      <c r="G95" s="1"/>
      <c r="H95" s="1"/>
      <c r="I95" s="1"/>
      <c r="J95" s="1"/>
    </row>
    <row r="96" spans="2:10" x14ac:dyDescent="0.25">
      <c r="B96" s="1"/>
      <c r="C96" s="1"/>
      <c r="D96" s="1"/>
      <c r="E96" s="1"/>
      <c r="F96" s="1"/>
      <c r="G96" s="1"/>
      <c r="H96" s="1"/>
      <c r="I96" s="1"/>
      <c r="J96" s="1"/>
    </row>
    <row r="97" spans="2:10" x14ac:dyDescent="0.25">
      <c r="B97" s="1"/>
      <c r="C97" s="1"/>
      <c r="D97" s="1"/>
      <c r="E97" s="1"/>
      <c r="F97" s="1"/>
      <c r="G97" s="1"/>
      <c r="H97" s="1"/>
      <c r="I97" s="1"/>
      <c r="J97" s="1"/>
    </row>
    <row r="98" spans="2:10" x14ac:dyDescent="0.25">
      <c r="B98" s="1"/>
      <c r="C98" s="1"/>
      <c r="D98" s="1"/>
      <c r="E98" s="1"/>
      <c r="F98" s="1"/>
      <c r="G98" s="1"/>
      <c r="H98" s="1"/>
      <c r="I98" s="1"/>
      <c r="J98" s="1"/>
    </row>
    <row r="99" spans="2:10" x14ac:dyDescent="0.25">
      <c r="B99" s="1"/>
      <c r="C99" s="1"/>
      <c r="D99" s="1"/>
      <c r="E99" s="1"/>
      <c r="F99" s="1"/>
      <c r="G99" s="1"/>
      <c r="H99" s="1"/>
      <c r="I99" s="1"/>
      <c r="J99" s="1"/>
    </row>
    <row r="100" spans="2:10" x14ac:dyDescent="0.25">
      <c r="B100" s="1"/>
      <c r="C100" s="1"/>
      <c r="D100" s="1"/>
      <c r="E100" s="1"/>
      <c r="F100" s="1"/>
      <c r="G100" s="1"/>
      <c r="H100" s="1"/>
      <c r="I100" s="1"/>
      <c r="J100" s="1"/>
    </row>
    <row r="101" spans="2:10" x14ac:dyDescent="0.25">
      <c r="B101" s="1"/>
      <c r="C101" s="1"/>
      <c r="D101" s="1"/>
      <c r="E101" s="1"/>
      <c r="F101" s="1"/>
      <c r="G101" s="1"/>
      <c r="H101" s="1"/>
      <c r="I101" s="1"/>
      <c r="J101" s="1"/>
    </row>
  </sheetData>
  <sheetProtection sheet="1" objects="1" scenarios="1"/>
  <mergeCells count="9">
    <mergeCell ref="C2:F2"/>
    <mergeCell ref="B19:H19"/>
    <mergeCell ref="B27:H27"/>
    <mergeCell ref="B3:G3"/>
    <mergeCell ref="G24:H24"/>
    <mergeCell ref="G25:H25"/>
    <mergeCell ref="B15:H15"/>
    <mergeCell ref="B16:H16"/>
    <mergeCell ref="B17:H17"/>
  </mergeCells>
  <phoneticPr fontId="0" type="noConversion"/>
  <hyperlinks>
    <hyperlink ref="G24" location="' ÖKOZS-Aufzf..-Mast'!A1" display="Zuchtsau und Mast"/>
    <hyperlink ref="G24:H24" location="Hühnermast!A1" display="Hühnermast"/>
    <hyperlink ref="G25:H25" location="Grafiken!A1" display="Grafiken Hühnermast"/>
  </hyperlinks>
  <printOptions horizontalCentered="1" gridLinesSet="0"/>
  <pageMargins left="0.23622047244094491" right="0.23622047244094491" top="0.74803149606299213" bottom="0.74803149606299213" header="0.31496062992125984" footer="0.31496062992125984"/>
  <pageSetup paperSize="9" scale="56" orientation="portrait" verticalDpi="300" r:id="rId1"/>
  <headerFooter alignWithMargins="0">
    <oddFooter>&amp;LLEL, Abt.2, K.Schabel, V. Segger&amp;C&amp;F&amp;R&amp;D</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zoomScaleNormal="100" workbookViewId="0"/>
  </sheetViews>
  <sheetFormatPr baseColWidth="10" defaultRowHeight="13.2" x14ac:dyDescent="0.25"/>
  <cols>
    <col min="1" max="1" width="1.88671875" customWidth="1"/>
    <col min="5" max="5" width="7.88671875" customWidth="1"/>
  </cols>
  <sheetData>
    <row r="1" spans="2:10" ht="13.8" thickBot="1" x14ac:dyDescent="0.3"/>
    <row r="2" spans="2:10" ht="38.1" customHeight="1" thickBot="1" x14ac:dyDescent="0.3">
      <c r="B2" s="453" t="s">
        <v>60</v>
      </c>
      <c r="C2" s="454"/>
      <c r="D2" s="454"/>
      <c r="E2" s="454"/>
      <c r="F2" s="454"/>
      <c r="G2" s="454"/>
      <c r="H2" s="454"/>
      <c r="I2" s="454"/>
      <c r="J2" s="455"/>
    </row>
    <row r="3" spans="2:10" ht="4.8" customHeight="1" x14ac:dyDescent="0.25">
      <c r="B3" s="144"/>
      <c r="C3" s="144"/>
      <c r="D3" s="144"/>
      <c r="E3" s="144"/>
      <c r="F3" s="144"/>
      <c r="G3" s="144"/>
      <c r="H3" s="144"/>
      <c r="I3" s="144"/>
      <c r="J3" s="144"/>
    </row>
    <row r="4" spans="2:10" ht="14.25" customHeight="1" x14ac:dyDescent="0.25">
      <c r="B4" s="452" t="s">
        <v>40</v>
      </c>
      <c r="C4" s="452"/>
      <c r="D4" s="452"/>
      <c r="E4" s="452"/>
      <c r="F4" s="452"/>
      <c r="G4" s="452"/>
      <c r="H4" s="452"/>
      <c r="I4" s="452"/>
    </row>
    <row r="5" spans="2:10" ht="2.7" customHeight="1" x14ac:dyDescent="0.25">
      <c r="B5" s="451"/>
      <c r="C5" s="451"/>
      <c r="D5" s="451"/>
      <c r="E5" s="451"/>
      <c r="F5" s="451"/>
      <c r="G5" s="451"/>
      <c r="H5" s="451"/>
      <c r="I5" s="451"/>
    </row>
    <row r="6" spans="2:10" ht="17.399999999999999" x14ac:dyDescent="0.25">
      <c r="B6" s="452" t="s">
        <v>41</v>
      </c>
      <c r="C6" s="452"/>
      <c r="D6" s="452"/>
      <c r="E6" s="452"/>
      <c r="F6" s="452"/>
      <c r="G6" s="452"/>
      <c r="H6" s="452"/>
      <c r="I6" s="452"/>
    </row>
    <row r="7" spans="2:10" ht="4.8" customHeight="1" x14ac:dyDescent="0.25">
      <c r="B7" s="451"/>
      <c r="C7" s="451"/>
      <c r="D7" s="451"/>
      <c r="E7" s="451"/>
      <c r="F7" s="451"/>
      <c r="G7" s="451"/>
      <c r="H7" s="451"/>
      <c r="I7" s="451"/>
    </row>
    <row r="8" spans="2:10" ht="108" customHeight="1" x14ac:dyDescent="0.25">
      <c r="B8" s="450" t="s">
        <v>51</v>
      </c>
      <c r="C8" s="450"/>
      <c r="D8" s="450"/>
      <c r="E8" s="450"/>
      <c r="F8" s="456" t="s">
        <v>61</v>
      </c>
      <c r="G8" s="456"/>
      <c r="H8" s="456"/>
      <c r="I8" s="456"/>
      <c r="J8" s="456"/>
    </row>
    <row r="9" spans="2:10" ht="6.15" customHeight="1" x14ac:dyDescent="0.25">
      <c r="B9" s="450"/>
      <c r="C9" s="450"/>
      <c r="D9" s="450"/>
      <c r="E9" s="450"/>
      <c r="F9" s="450"/>
      <c r="G9" s="450"/>
      <c r="H9" s="450"/>
      <c r="I9" s="450"/>
    </row>
    <row r="10" spans="2:10" ht="184.8" customHeight="1" x14ac:dyDescent="0.25">
      <c r="B10" s="450" t="s">
        <v>42</v>
      </c>
      <c r="C10" s="450"/>
      <c r="D10" s="450"/>
      <c r="E10" s="450"/>
      <c r="F10" s="143"/>
      <c r="G10" s="143"/>
      <c r="H10" s="143"/>
      <c r="I10" s="143"/>
    </row>
    <row r="11" spans="2:10" ht="1.35" customHeight="1" x14ac:dyDescent="0.25">
      <c r="B11" s="451"/>
      <c r="C11" s="451"/>
      <c r="D11" s="451"/>
      <c r="E11" s="451"/>
      <c r="F11" s="451"/>
      <c r="G11" s="451"/>
      <c r="H11" s="451"/>
      <c r="I11" s="451"/>
    </row>
    <row r="12" spans="2:10" ht="17.399999999999999" x14ac:dyDescent="0.25">
      <c r="B12" s="452" t="s">
        <v>43</v>
      </c>
      <c r="C12" s="452"/>
      <c r="D12" s="452"/>
      <c r="E12" s="452"/>
      <c r="F12" s="452"/>
      <c r="G12" s="452"/>
      <c r="H12" s="452"/>
      <c r="I12" s="452"/>
    </row>
    <row r="13" spans="2:10" ht="5.4" customHeight="1" x14ac:dyDescent="0.25">
      <c r="B13" s="451"/>
      <c r="C13" s="451"/>
      <c r="D13" s="451"/>
      <c r="E13" s="451"/>
      <c r="F13" s="451"/>
      <c r="G13" s="451"/>
      <c r="H13" s="451"/>
      <c r="I13" s="451"/>
    </row>
    <row r="14" spans="2:10" ht="41.4" customHeight="1" x14ac:dyDescent="0.25">
      <c r="B14" s="450" t="s">
        <v>44</v>
      </c>
      <c r="C14" s="450"/>
      <c r="D14" s="450"/>
      <c r="E14" s="450"/>
      <c r="F14" s="450"/>
      <c r="G14" s="450"/>
      <c r="H14" s="450"/>
      <c r="I14" s="450"/>
      <c r="J14" s="450"/>
    </row>
    <row r="15" spans="2:10" ht="6.15" customHeight="1" x14ac:dyDescent="0.25">
      <c r="B15" s="451"/>
      <c r="C15" s="451"/>
      <c r="D15" s="451"/>
      <c r="E15" s="451"/>
      <c r="F15" s="451"/>
      <c r="G15" s="451"/>
      <c r="H15" s="451"/>
      <c r="I15" s="451"/>
    </row>
    <row r="16" spans="2:10" ht="17.399999999999999" x14ac:dyDescent="0.25">
      <c r="B16" s="452" t="s">
        <v>45</v>
      </c>
      <c r="C16" s="452"/>
      <c r="D16" s="452"/>
      <c r="E16" s="452"/>
      <c r="F16" s="452"/>
      <c r="G16" s="452"/>
      <c r="H16" s="452"/>
      <c r="I16" s="452"/>
    </row>
    <row r="17" spans="2:10" ht="6.15" customHeight="1" x14ac:dyDescent="0.25">
      <c r="B17" s="451"/>
      <c r="C17" s="451"/>
      <c r="D17" s="451"/>
      <c r="E17" s="451"/>
      <c r="F17" s="451"/>
      <c r="G17" s="451"/>
      <c r="H17" s="451"/>
      <c r="I17" s="451"/>
    </row>
    <row r="18" spans="2:10" ht="63.15" customHeight="1" x14ac:dyDescent="0.25">
      <c r="B18" s="450" t="s">
        <v>46</v>
      </c>
      <c r="C18" s="450"/>
      <c r="D18" s="450"/>
      <c r="E18" s="450"/>
      <c r="F18" s="450"/>
      <c r="G18" s="450"/>
      <c r="H18" s="450"/>
      <c r="I18" s="450"/>
      <c r="J18" s="450"/>
    </row>
    <row r="19" spans="2:10" ht="5.4" customHeight="1" x14ac:dyDescent="0.25">
      <c r="B19" s="450"/>
      <c r="C19" s="450"/>
      <c r="D19" s="450"/>
      <c r="E19" s="450"/>
      <c r="F19" s="450"/>
      <c r="G19" s="450"/>
      <c r="H19" s="450"/>
      <c r="I19" s="450"/>
    </row>
    <row r="20" spans="2:10" ht="77.400000000000006" customHeight="1" x14ac:dyDescent="0.25">
      <c r="B20" s="450" t="s">
        <v>47</v>
      </c>
      <c r="C20" s="450"/>
      <c r="D20" s="450"/>
      <c r="E20" s="450"/>
      <c r="F20" s="450"/>
      <c r="G20" s="450"/>
      <c r="H20" s="450"/>
      <c r="I20" s="450"/>
      <c r="J20" s="450"/>
    </row>
    <row r="21" spans="2:10" ht="6.75" customHeight="1" x14ac:dyDescent="0.25">
      <c r="B21" s="451"/>
      <c r="C21" s="451"/>
      <c r="D21" s="451"/>
      <c r="E21" s="451"/>
      <c r="F21" s="451"/>
      <c r="G21" s="451"/>
      <c r="H21" s="451"/>
      <c r="I21" s="451"/>
    </row>
    <row r="22" spans="2:10" ht="20.399999999999999" customHeight="1" x14ac:dyDescent="0.25">
      <c r="B22" s="452" t="s">
        <v>48</v>
      </c>
      <c r="C22" s="452"/>
      <c r="D22" s="452"/>
      <c r="E22" s="452"/>
      <c r="F22" s="452"/>
      <c r="G22" s="452"/>
      <c r="H22" s="452"/>
      <c r="I22" s="452"/>
    </row>
    <row r="23" spans="2:10" x14ac:dyDescent="0.25">
      <c r="B23" s="451"/>
      <c r="C23" s="451"/>
      <c r="D23" s="451"/>
      <c r="E23" s="451"/>
      <c r="F23" s="451"/>
      <c r="G23" s="451"/>
      <c r="H23" s="451"/>
      <c r="I23" s="451"/>
    </row>
    <row r="24" spans="2:10" ht="43.5" customHeight="1" x14ac:dyDescent="0.25">
      <c r="B24" s="450" t="s">
        <v>49</v>
      </c>
      <c r="C24" s="450"/>
      <c r="D24" s="450"/>
      <c r="E24" s="450"/>
      <c r="F24" s="450"/>
      <c r="G24" s="450"/>
      <c r="H24" s="450"/>
      <c r="I24" s="450"/>
      <c r="J24" s="450"/>
    </row>
    <row r="25" spans="2:10" ht="6.75" customHeight="1" x14ac:dyDescent="0.25">
      <c r="B25" s="451"/>
      <c r="C25" s="451"/>
      <c r="D25" s="451"/>
      <c r="E25" s="451"/>
      <c r="F25" s="451"/>
      <c r="G25" s="451"/>
      <c r="H25" s="451"/>
      <c r="I25" s="451"/>
    </row>
    <row r="26" spans="2:10" ht="27.9" customHeight="1" x14ac:dyDescent="0.25">
      <c r="B26" s="450" t="s">
        <v>50</v>
      </c>
      <c r="C26" s="450"/>
      <c r="D26" s="450"/>
      <c r="E26" s="450"/>
      <c r="F26" s="450"/>
      <c r="G26" s="450"/>
      <c r="H26" s="450"/>
      <c r="I26" s="450"/>
      <c r="J26" s="450"/>
    </row>
    <row r="28" spans="2:10" x14ac:dyDescent="0.25">
      <c r="B28" s="142" t="s">
        <v>53</v>
      </c>
    </row>
    <row r="29" spans="2:10" x14ac:dyDescent="0.25">
      <c r="B29" s="142"/>
    </row>
  </sheetData>
  <mergeCells count="25">
    <mergeCell ref="B2:J2"/>
    <mergeCell ref="F8:J8"/>
    <mergeCell ref="B8:E8"/>
    <mergeCell ref="B10:E10"/>
    <mergeCell ref="B14:J14"/>
    <mergeCell ref="B9:I9"/>
    <mergeCell ref="B11:I11"/>
    <mergeCell ref="B12:I12"/>
    <mergeCell ref="B13:I13"/>
    <mergeCell ref="B4:I4"/>
    <mergeCell ref="B5:I5"/>
    <mergeCell ref="B6:I6"/>
    <mergeCell ref="B7:I7"/>
    <mergeCell ref="B18:J18"/>
    <mergeCell ref="B15:I15"/>
    <mergeCell ref="B16:I16"/>
    <mergeCell ref="B17:I17"/>
    <mergeCell ref="B20:J20"/>
    <mergeCell ref="B19:I19"/>
    <mergeCell ref="B24:J24"/>
    <mergeCell ref="B26:J26"/>
    <mergeCell ref="B21:I21"/>
    <mergeCell ref="B22:I22"/>
    <mergeCell ref="B23:I23"/>
    <mergeCell ref="B25:I25"/>
  </mergeCells>
  <pageMargins left="0.23622047244094491" right="0.23622047244094491" top="0.74803149606299213" bottom="0.74803149606299213" header="0.31496062992125984" footer="0.31496062992125984"/>
  <pageSetup paperSize="9" scale="56" orientation="portrait" verticalDpi="0" r:id="rId1"/>
  <headerFooter alignWithMargins="0">
    <oddFooter>&amp;LLEL, Abt.2, K.Schabel, V. Segger&amp;C
&amp;R&amp;D</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6"/>
  <sheetViews>
    <sheetView showGridLines="0" topLeftCell="B1" zoomScale="110" zoomScaleNormal="110" zoomScalePageLayoutView="79" workbookViewId="0">
      <selection activeCell="E10" sqref="E10"/>
    </sheetView>
  </sheetViews>
  <sheetFormatPr baseColWidth="10" defaultColWidth="11.33203125" defaultRowHeight="13.2" x14ac:dyDescent="0.25"/>
  <cols>
    <col min="1" max="1" width="1.33203125" style="1" customWidth="1"/>
    <col min="2" max="2" width="27.21875" style="11" customWidth="1"/>
    <col min="3" max="3" width="13" style="11" customWidth="1"/>
    <col min="4" max="4" width="25.77734375" style="11" customWidth="1"/>
    <col min="5" max="5" width="18.33203125" style="11" customWidth="1"/>
    <col min="6" max="6" width="8.88671875" style="11" customWidth="1"/>
    <col min="7" max="7" width="31.109375" style="11" customWidth="1"/>
    <col min="8" max="8" width="20.33203125" style="11" customWidth="1"/>
    <col min="9" max="9" width="11" style="11" customWidth="1"/>
    <col min="10" max="10" width="11.21875" style="11" customWidth="1"/>
    <col min="11" max="11" width="9.77734375" style="11" customWidth="1"/>
    <col min="12" max="12" width="8.33203125" style="11" customWidth="1"/>
    <col min="13" max="13" width="11.44140625" style="1" customWidth="1"/>
    <col min="14" max="14" width="4" style="1" customWidth="1"/>
    <col min="15" max="15" width="1.44140625" style="1" customWidth="1"/>
    <col min="16" max="16" width="4.109375" style="1" hidden="1" customWidth="1"/>
    <col min="17" max="17" width="18.77734375" style="1" hidden="1" customWidth="1"/>
    <col min="18" max="18" width="5.21875" style="1" customWidth="1"/>
    <col min="19" max="16384" width="11.33203125" style="1"/>
  </cols>
  <sheetData>
    <row r="1" spans="2:22" ht="6.15" customHeight="1" thickBot="1" x14ac:dyDescent="0.35">
      <c r="B1" s="10"/>
      <c r="C1" s="10"/>
      <c r="D1" s="10"/>
      <c r="E1" s="10"/>
      <c r="F1" s="10"/>
      <c r="G1" s="10"/>
      <c r="H1" s="10"/>
      <c r="I1" s="10"/>
      <c r="J1" s="10"/>
      <c r="K1" s="10"/>
      <c r="L1" s="10"/>
      <c r="M1" s="2"/>
      <c r="N1" s="2"/>
      <c r="O1" s="2"/>
    </row>
    <row r="2" spans="2:22" ht="36" customHeight="1" thickBot="1" x14ac:dyDescent="0.35">
      <c r="B2" s="459" t="s">
        <v>85</v>
      </c>
      <c r="C2" s="460"/>
      <c r="D2" s="460"/>
      <c r="E2" s="460"/>
      <c r="F2" s="460"/>
      <c r="G2" s="460"/>
      <c r="H2" s="432" t="s">
        <v>199</v>
      </c>
      <c r="I2" s="247"/>
      <c r="J2" s="248" t="s">
        <v>187</v>
      </c>
      <c r="L2" s="463" t="s">
        <v>38</v>
      </c>
      <c r="M2" s="464"/>
      <c r="N2" s="465"/>
      <c r="O2" s="2"/>
    </row>
    <row r="3" spans="2:22" ht="14.25" customHeight="1" thickBot="1" x14ac:dyDescent="0.3">
      <c r="B3" s="75"/>
      <c r="C3" s="75"/>
      <c r="D3" s="75"/>
      <c r="E3" s="75"/>
      <c r="F3" s="75"/>
      <c r="G3" s="75"/>
      <c r="H3" s="75"/>
      <c r="I3" s="75"/>
      <c r="J3" s="75"/>
      <c r="K3" s="10"/>
      <c r="L3" s="10"/>
      <c r="M3"/>
      <c r="N3"/>
      <c r="O3"/>
    </row>
    <row r="4" spans="2:22" ht="22.65" customHeight="1" thickBot="1" x14ac:dyDescent="0.35">
      <c r="B4" s="96" t="s">
        <v>26</v>
      </c>
      <c r="C4" s="96"/>
      <c r="D4" s="149" t="s">
        <v>19</v>
      </c>
      <c r="F4" s="145" t="s">
        <v>27</v>
      </c>
      <c r="G4" s="146" t="s">
        <v>62</v>
      </c>
      <c r="H4" s="96" t="s">
        <v>18</v>
      </c>
      <c r="I4" s="457"/>
      <c r="J4" s="458"/>
      <c r="M4"/>
      <c r="N4"/>
      <c r="O4"/>
    </row>
    <row r="5" spans="2:22" ht="4.8" customHeight="1" x14ac:dyDescent="0.25">
      <c r="B5" s="76"/>
      <c r="C5" s="76"/>
      <c r="D5" s="76"/>
      <c r="E5" s="76"/>
      <c r="F5" s="76"/>
      <c r="G5" s="76"/>
      <c r="H5" s="76"/>
      <c r="I5" s="76"/>
      <c r="J5" s="76"/>
      <c r="K5" s="10"/>
      <c r="L5" s="10"/>
      <c r="M5"/>
      <c r="N5"/>
      <c r="O5"/>
    </row>
    <row r="6" spans="2:22" ht="14.25" customHeight="1" x14ac:dyDescent="0.25">
      <c r="B6" s="117"/>
      <c r="C6" s="117"/>
      <c r="D6" s="118" t="s">
        <v>32</v>
      </c>
      <c r="E6" s="119" t="s">
        <v>25</v>
      </c>
      <c r="F6" s="150" t="s">
        <v>30</v>
      </c>
      <c r="G6" s="113" t="s">
        <v>39</v>
      </c>
      <c r="H6" s="114"/>
      <c r="I6" s="115" t="s">
        <v>28</v>
      </c>
      <c r="J6" s="150" t="s">
        <v>30</v>
      </c>
      <c r="L6" s="182" t="s">
        <v>80</v>
      </c>
      <c r="M6" s="183"/>
      <c r="N6" s="183"/>
      <c r="O6" s="183"/>
      <c r="P6" s="183"/>
      <c r="Q6" s="183"/>
      <c r="R6" s="183"/>
      <c r="S6" s="183"/>
      <c r="T6" s="183"/>
      <c r="U6" s="183"/>
      <c r="V6" s="183"/>
    </row>
    <row r="7" spans="2:22" ht="14.25" customHeight="1" x14ac:dyDescent="0.3">
      <c r="E7" s="119" t="s">
        <v>24</v>
      </c>
      <c r="F7" s="315" t="str">
        <f>IF(F6="","X","")</f>
        <v/>
      </c>
      <c r="G7" s="116"/>
      <c r="H7" s="114"/>
      <c r="I7" s="115" t="s">
        <v>29</v>
      </c>
      <c r="J7" s="315" t="str">
        <f>IF($J$6="","x","")</f>
        <v/>
      </c>
      <c r="L7" s="10"/>
      <c r="M7" s="107" t="s">
        <v>0</v>
      </c>
      <c r="N7"/>
      <c r="O7"/>
      <c r="S7"/>
    </row>
    <row r="8" spans="2:22" ht="12.3" customHeight="1" thickBot="1" x14ac:dyDescent="0.35">
      <c r="D8" s="76"/>
      <c r="E8" s="76"/>
      <c r="F8" s="76"/>
      <c r="G8" s="76"/>
      <c r="H8" s="76"/>
      <c r="I8" s="76"/>
      <c r="J8" s="76"/>
      <c r="L8" s="15"/>
      <c r="M8" s="108"/>
      <c r="N8"/>
      <c r="O8" s="2"/>
      <c r="S8"/>
    </row>
    <row r="9" spans="2:22" ht="19.5" customHeight="1" x14ac:dyDescent="0.3">
      <c r="B9" s="77" t="s">
        <v>71</v>
      </c>
      <c r="C9" s="78"/>
      <c r="D9" s="78"/>
      <c r="E9" s="104">
        <v>0.107</v>
      </c>
      <c r="F9" s="105">
        <f>IF($J$7="",E9,"")</f>
        <v>0.107</v>
      </c>
      <c r="G9" s="79" t="s">
        <v>31</v>
      </c>
      <c r="H9" s="80"/>
      <c r="I9" s="147">
        <v>2.5</v>
      </c>
      <c r="J9" s="81" t="s">
        <v>1</v>
      </c>
      <c r="L9" s="14"/>
      <c r="M9" s="98">
        <f>IF($J$7="",1+F9,1)</f>
        <v>1.107</v>
      </c>
      <c r="N9"/>
      <c r="O9"/>
      <c r="S9"/>
    </row>
    <row r="10" spans="2:22" ht="19.5" customHeight="1" x14ac:dyDescent="0.3">
      <c r="B10" s="90" t="s">
        <v>23</v>
      </c>
      <c r="C10" s="91"/>
      <c r="D10" s="91"/>
      <c r="E10" s="100">
        <v>0.19</v>
      </c>
      <c r="F10" s="106">
        <f>IF($J$7="",E10,"")</f>
        <v>0.19</v>
      </c>
      <c r="G10" s="92" t="s">
        <v>22</v>
      </c>
      <c r="H10" s="93"/>
      <c r="I10" s="95">
        <v>40</v>
      </c>
      <c r="J10" s="94" t="s">
        <v>1</v>
      </c>
      <c r="L10" s="14"/>
      <c r="M10" s="109">
        <f>IF($J$7="",1+F10,1)</f>
        <v>1.19</v>
      </c>
      <c r="N10"/>
      <c r="O10"/>
      <c r="S10" s="142" t="s">
        <v>168</v>
      </c>
    </row>
    <row r="11" spans="2:22" ht="19.5" customHeight="1" thickBot="1" x14ac:dyDescent="0.35">
      <c r="B11" s="82" t="s">
        <v>152</v>
      </c>
      <c r="C11" s="83"/>
      <c r="D11" s="83"/>
      <c r="E11" s="101">
        <v>7.0000000000000007E-2</v>
      </c>
      <c r="F11" s="102">
        <f>IF($J$7="",E11,"")</f>
        <v>7.0000000000000007E-2</v>
      </c>
      <c r="G11" s="85" t="s">
        <v>2</v>
      </c>
      <c r="H11" s="86"/>
      <c r="I11" s="33">
        <v>16</v>
      </c>
      <c r="J11" s="84" t="s">
        <v>13</v>
      </c>
      <c r="L11" s="14"/>
      <c r="M11" s="99">
        <f>IF($J$7="",1+F11,1)</f>
        <v>1.07</v>
      </c>
      <c r="N11"/>
      <c r="O11"/>
    </row>
    <row r="12" spans="2:22" s="137" customFormat="1" ht="12.9" customHeight="1" thickBot="1" x14ac:dyDescent="0.35">
      <c r="B12" s="134"/>
      <c r="C12" s="134"/>
      <c r="D12" s="134"/>
      <c r="E12" s="124"/>
      <c r="F12" s="124"/>
      <c r="G12" s="135"/>
      <c r="H12" s="135"/>
      <c r="I12"/>
      <c r="J12"/>
      <c r="K12" s="125"/>
      <c r="L12" s="23"/>
      <c r="M12" s="136"/>
      <c r="N12" s="136"/>
      <c r="O12" s="136"/>
      <c r="S12" s="136"/>
    </row>
    <row r="13" spans="2:22" ht="17.399999999999999" x14ac:dyDescent="0.3">
      <c r="B13" s="309" t="s">
        <v>166</v>
      </c>
      <c r="C13" s="310"/>
      <c r="D13" s="310"/>
      <c r="E13" s="312" t="s">
        <v>167</v>
      </c>
      <c r="F13" s="310"/>
      <c r="G13" s="310"/>
      <c r="H13" s="311"/>
      <c r="I13" s="461" t="s">
        <v>198</v>
      </c>
      <c r="J13" s="462"/>
      <c r="K13" s="125"/>
      <c r="L13" s="14"/>
      <c r="M13"/>
      <c r="N13"/>
      <c r="O13"/>
      <c r="S13" s="256" t="s">
        <v>132</v>
      </c>
    </row>
    <row r="14" spans="2:22" ht="15" x14ac:dyDescent="0.25">
      <c r="B14" s="153" t="s">
        <v>34</v>
      </c>
      <c r="C14" s="193"/>
      <c r="D14" s="180" t="s">
        <v>33</v>
      </c>
      <c r="E14" s="156">
        <v>3.25</v>
      </c>
      <c r="F14" s="132" t="s">
        <v>163</v>
      </c>
      <c r="G14" s="240"/>
      <c r="H14" s="180"/>
      <c r="I14" s="306" t="s">
        <v>33</v>
      </c>
      <c r="J14" s="138">
        <f>41.3*0.5/4</f>
        <v>5.1624999999999996</v>
      </c>
      <c r="K14" s="125"/>
      <c r="M14"/>
      <c r="N14"/>
      <c r="O14"/>
      <c r="Q14"/>
      <c r="S14" s="123" t="s">
        <v>79</v>
      </c>
    </row>
    <row r="15" spans="2:22" ht="16.2" x14ac:dyDescent="0.35">
      <c r="B15" s="154" t="s">
        <v>63</v>
      </c>
      <c r="C15" s="131"/>
      <c r="D15" s="180" t="s">
        <v>164</v>
      </c>
      <c r="E15" s="157">
        <v>1.27</v>
      </c>
      <c r="F15" s="131" t="s">
        <v>188</v>
      </c>
      <c r="G15" s="240"/>
      <c r="H15" s="180"/>
      <c r="I15" s="307" t="s">
        <v>164</v>
      </c>
      <c r="J15" s="139">
        <f>20.8/4</f>
        <v>5.2</v>
      </c>
      <c r="K15" s="125"/>
      <c r="M15"/>
      <c r="N15"/>
      <c r="O15"/>
      <c r="S15" s="123" t="s">
        <v>190</v>
      </c>
    </row>
    <row r="16" spans="2:22" ht="16.8" thickBot="1" x14ac:dyDescent="0.4">
      <c r="B16" s="174" t="s">
        <v>64</v>
      </c>
      <c r="C16" s="194"/>
      <c r="D16" s="305" t="s">
        <v>165</v>
      </c>
      <c r="E16" s="158">
        <v>1.1499999999999999</v>
      </c>
      <c r="F16" s="194" t="s">
        <v>68</v>
      </c>
      <c r="G16" s="241"/>
      <c r="H16" s="305"/>
      <c r="I16" s="308" t="s">
        <v>165</v>
      </c>
      <c r="J16" s="141">
        <f>17/4.7*4</f>
        <v>14.468085106382977</v>
      </c>
      <c r="K16"/>
      <c r="L16" s="10"/>
      <c r="M16"/>
      <c r="N16"/>
      <c r="O16"/>
      <c r="S16" s="121"/>
    </row>
    <row r="17" spans="2:28" s="130" customFormat="1" ht="5.4" customHeight="1" x14ac:dyDescent="0.25">
      <c r="B17" s="126"/>
      <c r="C17" s="126"/>
      <c r="D17" s="127"/>
      <c r="E17" s="127"/>
      <c r="F17" s="181"/>
      <c r="G17" s="126"/>
      <c r="H17" s="126"/>
      <c r="I17" s="126"/>
      <c r="J17" s="126"/>
      <c r="K17" s="128"/>
      <c r="L17" s="129"/>
      <c r="M17" s="128"/>
      <c r="N17" s="128"/>
      <c r="O17" s="128"/>
      <c r="S17" s="128"/>
    </row>
    <row r="18" spans="2:28" ht="12.3" customHeight="1" thickBot="1" x14ac:dyDescent="0.35">
      <c r="B18" s="34"/>
      <c r="C18" s="34"/>
      <c r="D18" s="32"/>
      <c r="E18" s="24"/>
      <c r="F18" s="24"/>
      <c r="G18" s="24"/>
      <c r="H18" s="24"/>
      <c r="I18" s="24"/>
      <c r="J18" s="24"/>
      <c r="K18"/>
      <c r="L18" s="14"/>
      <c r="M18" s="7"/>
      <c r="N18" s="8"/>
      <c r="O18" s="9"/>
      <c r="P18"/>
      <c r="Q18"/>
      <c r="R18"/>
      <c r="S18"/>
      <c r="T18"/>
      <c r="U18"/>
    </row>
    <row r="19" spans="2:28" ht="30.75" customHeight="1" thickBot="1" x14ac:dyDescent="0.3">
      <c r="B19" s="466" t="s">
        <v>117</v>
      </c>
      <c r="C19" s="467"/>
      <c r="D19" s="467"/>
      <c r="E19" s="467"/>
      <c r="F19" s="467"/>
      <c r="G19" s="467"/>
      <c r="H19" s="467"/>
      <c r="I19" s="467"/>
      <c r="J19" s="468"/>
      <c r="K19" s="10"/>
      <c r="L19" s="255"/>
      <c r="M19" s="137"/>
      <c r="N19" s="137"/>
      <c r="O19" s="137"/>
      <c r="P19" s="137"/>
      <c r="Q19" s="137"/>
      <c r="R19"/>
      <c r="T19"/>
      <c r="U19"/>
    </row>
    <row r="20" spans="2:28" ht="20.25" customHeight="1" x14ac:dyDescent="0.25">
      <c r="B20" s="428" t="s">
        <v>121</v>
      </c>
      <c r="C20" s="198"/>
      <c r="D20" s="198"/>
      <c r="E20" s="431">
        <f>C28*E28/10</f>
        <v>319.2</v>
      </c>
      <c r="F20" s="236" t="s">
        <v>169</v>
      </c>
      <c r="G20" s="477" t="s">
        <v>175</v>
      </c>
      <c r="H20" s="478"/>
      <c r="I20" s="313">
        <v>4</v>
      </c>
      <c r="J20" s="199" t="s">
        <v>169</v>
      </c>
      <c r="L20" s="10"/>
      <c r="M20"/>
      <c r="N20"/>
      <c r="O20"/>
      <c r="P20"/>
      <c r="Q20"/>
      <c r="R20"/>
      <c r="S20" s="122" t="s">
        <v>192</v>
      </c>
      <c r="T20"/>
      <c r="U20"/>
    </row>
    <row r="21" spans="2:28" ht="20.25" customHeight="1" x14ac:dyDescent="0.25">
      <c r="B21" s="201" t="s">
        <v>182</v>
      </c>
      <c r="C21" s="202"/>
      <c r="D21" s="202"/>
      <c r="E21" s="203">
        <v>2.8</v>
      </c>
      <c r="F21" s="237" t="s">
        <v>13</v>
      </c>
      <c r="G21" s="469" t="s">
        <v>174</v>
      </c>
      <c r="H21" s="470"/>
      <c r="I21" s="224">
        <v>90</v>
      </c>
      <c r="J21" s="200" t="s">
        <v>170</v>
      </c>
      <c r="N21"/>
      <c r="O21"/>
      <c r="P21" s="60"/>
      <c r="R21" s="60"/>
      <c r="S21" s="122" t="s">
        <v>193</v>
      </c>
      <c r="T21"/>
      <c r="U21"/>
    </row>
    <row r="22" spans="2:28" ht="20.25" customHeight="1" x14ac:dyDescent="0.25">
      <c r="B22" s="201" t="s">
        <v>52</v>
      </c>
      <c r="C22" s="202"/>
      <c r="D22" s="202"/>
      <c r="E22" s="204"/>
      <c r="F22" s="47" t="s">
        <v>170</v>
      </c>
      <c r="G22" s="482" t="s">
        <v>89</v>
      </c>
      <c r="H22" s="483"/>
      <c r="I22" s="224">
        <v>3.5</v>
      </c>
      <c r="J22" s="200" t="s">
        <v>1</v>
      </c>
      <c r="L22" s="12"/>
      <c r="M22" s="4"/>
      <c r="N22" s="4"/>
      <c r="O22" s="4"/>
      <c r="P22" s="57"/>
      <c r="R22" s="61"/>
      <c r="S22" s="122" t="s">
        <v>151</v>
      </c>
      <c r="T22"/>
      <c r="U22"/>
    </row>
    <row r="23" spans="2:28" ht="20.25" customHeight="1" x14ac:dyDescent="0.25">
      <c r="B23" s="206"/>
      <c r="C23" s="207"/>
      <c r="D23" s="207"/>
      <c r="E23" s="215"/>
      <c r="F23" s="48"/>
      <c r="G23" s="217" t="s">
        <v>87</v>
      </c>
      <c r="H23" s="210"/>
      <c r="I23" s="430">
        <f>1.86/4.7</f>
        <v>0.39574468085106385</v>
      </c>
      <c r="J23" s="200" t="s">
        <v>171</v>
      </c>
      <c r="K23" s="17"/>
      <c r="L23" s="55"/>
      <c r="M23" s="31"/>
      <c r="N23" s="4"/>
      <c r="O23" s="4"/>
      <c r="P23" s="58"/>
      <c r="R23" s="61"/>
      <c r="S23" s="123" t="s">
        <v>118</v>
      </c>
      <c r="T23" s="5"/>
      <c r="U23" s="3"/>
      <c r="V23" s="3"/>
      <c r="W23" s="3"/>
      <c r="X23" s="3"/>
      <c r="Y23" s="3"/>
      <c r="AA23" s="249">
        <v>0.8</v>
      </c>
      <c r="AB23" s="1" t="s">
        <v>119</v>
      </c>
    </row>
    <row r="24" spans="2:28" ht="20.25" customHeight="1" x14ac:dyDescent="0.25">
      <c r="B24" s="201" t="s">
        <v>70</v>
      </c>
      <c r="C24" s="202"/>
      <c r="D24" s="202"/>
      <c r="E24" s="228">
        <v>65</v>
      </c>
      <c r="F24" s="47" t="s">
        <v>12</v>
      </c>
      <c r="G24" s="206" t="s">
        <v>189</v>
      </c>
      <c r="H24" s="211"/>
      <c r="I24" s="251">
        <f>($E$14*$J$14+$E$15*$J$15+$E$16*$J$16)/E30</f>
        <v>9.9776944695424064</v>
      </c>
      <c r="J24" s="208" t="s">
        <v>13</v>
      </c>
      <c r="K24" s="17"/>
      <c r="L24" s="55"/>
      <c r="M24" s="4"/>
      <c r="N24" s="4"/>
      <c r="O24" s="4"/>
      <c r="P24" s="58"/>
      <c r="R24" s="61"/>
      <c r="S24" s="123" t="s">
        <v>194</v>
      </c>
      <c r="T24" s="5"/>
      <c r="U24" s="3"/>
      <c r="V24" s="3"/>
      <c r="W24" s="3"/>
      <c r="X24" s="3"/>
      <c r="Y24" s="3"/>
    </row>
    <row r="25" spans="2:28" ht="20.25" customHeight="1" x14ac:dyDescent="0.25">
      <c r="B25" s="252" t="s">
        <v>122</v>
      </c>
      <c r="C25" s="302">
        <v>0.2</v>
      </c>
      <c r="D25" s="195" t="s">
        <v>101</v>
      </c>
      <c r="E25" s="228">
        <v>38</v>
      </c>
      <c r="F25" s="240" t="s">
        <v>12</v>
      </c>
      <c r="G25" s="242" t="s">
        <v>120</v>
      </c>
      <c r="H25" s="212"/>
      <c r="I25" s="213">
        <f>SUM(I27:I34)</f>
        <v>62.620104516117259</v>
      </c>
      <c r="J25" s="200" t="s">
        <v>170</v>
      </c>
      <c r="K25" s="17"/>
      <c r="L25" s="55"/>
      <c r="M25" s="4"/>
      <c r="N25" s="4"/>
      <c r="O25" s="4"/>
      <c r="P25" s="58"/>
      <c r="R25" s="61"/>
      <c r="S25" s="123" t="s">
        <v>185</v>
      </c>
      <c r="T25" s="5"/>
      <c r="U25" s="3"/>
      <c r="V25" s="3"/>
      <c r="W25" s="3"/>
      <c r="X25" s="3"/>
      <c r="Y25" s="3"/>
    </row>
    <row r="26" spans="2:28" ht="20.25" customHeight="1" x14ac:dyDescent="0.25">
      <c r="B26" s="192" t="s">
        <v>124</v>
      </c>
      <c r="C26" s="301">
        <v>0.55000000000000004</v>
      </c>
      <c r="D26" s="235" t="s">
        <v>125</v>
      </c>
      <c r="E26" s="228">
        <v>70</v>
      </c>
      <c r="F26" s="253" t="s">
        <v>12</v>
      </c>
      <c r="G26" s="217" t="s">
        <v>4</v>
      </c>
      <c r="H26" s="133" t="s">
        <v>35</v>
      </c>
      <c r="I26" s="110"/>
      <c r="J26" s="214"/>
      <c r="K26" s="17"/>
      <c r="L26" s="55"/>
      <c r="M26" s="4"/>
      <c r="N26" s="4"/>
      <c r="O26" s="4"/>
      <c r="P26" s="58"/>
      <c r="R26" s="61"/>
      <c r="S26" s="123"/>
      <c r="T26" s="5"/>
      <c r="U26" s="3"/>
      <c r="V26" s="3"/>
      <c r="W26" s="3"/>
      <c r="X26" s="3"/>
      <c r="Y26" s="3"/>
    </row>
    <row r="27" spans="2:28" ht="20.25" customHeight="1" x14ac:dyDescent="0.25">
      <c r="B27" s="219" t="s">
        <v>177</v>
      </c>
      <c r="C27" s="220"/>
      <c r="D27" s="235"/>
      <c r="E27" s="250">
        <v>2.5</v>
      </c>
      <c r="F27" s="238" t="s">
        <v>170</v>
      </c>
      <c r="G27" s="205" t="s">
        <v>54</v>
      </c>
      <c r="H27" s="250">
        <v>10</v>
      </c>
      <c r="I27" s="216">
        <f>IF($J$7="",H27,H27/M27)</f>
        <v>10</v>
      </c>
      <c r="J27" s="200" t="s">
        <v>170</v>
      </c>
      <c r="L27" s="55"/>
      <c r="M27" s="103">
        <f>1+$E$10</f>
        <v>1.19</v>
      </c>
      <c r="N27" s="4"/>
      <c r="O27" s="4"/>
      <c r="P27" s="58"/>
      <c r="R27" s="61"/>
      <c r="S27" s="123" t="s">
        <v>145</v>
      </c>
      <c r="T27" s="5"/>
      <c r="U27" s="3"/>
      <c r="V27" s="3"/>
      <c r="W27" s="3"/>
      <c r="X27" s="3"/>
      <c r="Y27" s="3"/>
    </row>
    <row r="28" spans="2:28" ht="20.25" customHeight="1" x14ac:dyDescent="0.25">
      <c r="B28" s="207" t="s">
        <v>191</v>
      </c>
      <c r="C28" s="438">
        <v>84</v>
      </c>
      <c r="D28" s="207" t="s">
        <v>8</v>
      </c>
      <c r="E28" s="215">
        <v>38</v>
      </c>
      <c r="F28" s="239" t="s">
        <v>86</v>
      </c>
      <c r="G28" s="205" t="s">
        <v>55</v>
      </c>
      <c r="H28" s="250">
        <v>3</v>
      </c>
      <c r="I28" s="216">
        <f>IF($J$7="",H28,H28/M29)</f>
        <v>3</v>
      </c>
      <c r="J28" s="200" t="s">
        <v>170</v>
      </c>
      <c r="L28" s="55"/>
      <c r="M28" s="103">
        <f>1+$E$9</f>
        <v>1.107</v>
      </c>
      <c r="N28" s="4"/>
      <c r="O28" s="4"/>
      <c r="P28" s="58"/>
      <c r="R28" s="61"/>
      <c r="S28" s="123" t="s">
        <v>184</v>
      </c>
      <c r="T28" s="5"/>
      <c r="U28" s="3"/>
      <c r="V28" s="3"/>
      <c r="W28" s="3"/>
      <c r="X28" s="3"/>
      <c r="Y28" s="3"/>
    </row>
    <row r="29" spans="2:28" ht="19.649999999999999" customHeight="1" x14ac:dyDescent="0.25">
      <c r="B29" s="217" t="s">
        <v>9</v>
      </c>
      <c r="C29" s="210"/>
      <c r="D29" s="210"/>
      <c r="E29" s="218">
        <v>7</v>
      </c>
      <c r="F29" s="47" t="s">
        <v>10</v>
      </c>
      <c r="G29" s="205" t="s">
        <v>56</v>
      </c>
      <c r="H29" s="250">
        <v>10</v>
      </c>
      <c r="I29" s="216">
        <f>IF($J$7="",H29,H29/M30)</f>
        <v>10</v>
      </c>
      <c r="J29" s="200" t="s">
        <v>170</v>
      </c>
      <c r="L29" s="55"/>
      <c r="M29" s="103">
        <f t="shared" ref="M29:M34" si="0">1+$E$10</f>
        <v>1.19</v>
      </c>
      <c r="N29" s="4"/>
      <c r="O29" s="4"/>
      <c r="P29" s="58"/>
      <c r="R29" s="61"/>
      <c r="S29" s="123" t="s">
        <v>146</v>
      </c>
      <c r="T29" s="5"/>
      <c r="U29" s="3"/>
      <c r="V29" s="3"/>
      <c r="W29" s="3"/>
      <c r="X29" s="3"/>
      <c r="Y29" s="3"/>
    </row>
    <row r="30" spans="2:28" ht="20.25" customHeight="1" x14ac:dyDescent="0.25">
      <c r="B30" s="206" t="s">
        <v>11</v>
      </c>
      <c r="C30" s="207"/>
      <c r="D30" s="207"/>
      <c r="E30" s="209">
        <f>365/(C28+E29)</f>
        <v>4.0109890109890109</v>
      </c>
      <c r="F30" s="48"/>
      <c r="G30" s="205" t="s">
        <v>147</v>
      </c>
      <c r="H30" s="250">
        <v>20</v>
      </c>
      <c r="I30" s="216">
        <f>IF($J$7="",H30,H30/M31)</f>
        <v>20</v>
      </c>
      <c r="J30" s="200" t="s">
        <v>170</v>
      </c>
      <c r="L30" s="12"/>
      <c r="M30" s="103">
        <f t="shared" si="0"/>
        <v>1.19</v>
      </c>
      <c r="N30" s="31"/>
      <c r="O30" s="31"/>
      <c r="P30" s="152"/>
      <c r="R30" s="61"/>
      <c r="S30" s="123" t="s">
        <v>195</v>
      </c>
      <c r="T30" s="5"/>
      <c r="U30" s="3"/>
      <c r="V30" s="3"/>
      <c r="W30" s="3"/>
      <c r="X30" s="3"/>
      <c r="Y30" s="3"/>
    </row>
    <row r="31" spans="2:28" ht="20.25" customHeight="1" x14ac:dyDescent="0.25">
      <c r="B31" s="219" t="s">
        <v>126</v>
      </c>
      <c r="C31" s="220"/>
      <c r="D31" s="221"/>
      <c r="E31" s="222">
        <v>5590</v>
      </c>
      <c r="F31" s="238" t="s">
        <v>172</v>
      </c>
      <c r="G31" s="243" t="s">
        <v>67</v>
      </c>
      <c r="H31" s="250">
        <v>8</v>
      </c>
      <c r="I31" s="216">
        <f>IF($J$7="",H31,H31/M33)</f>
        <v>8</v>
      </c>
      <c r="J31" s="200" t="s">
        <v>170</v>
      </c>
      <c r="L31" s="55"/>
      <c r="M31" s="103">
        <f t="shared" si="0"/>
        <v>1.19</v>
      </c>
      <c r="N31" s="4"/>
      <c r="O31" s="4"/>
      <c r="P31" s="58"/>
      <c r="R31" s="61"/>
      <c r="S31" s="123" t="s">
        <v>196</v>
      </c>
      <c r="T31" s="5"/>
      <c r="U31" s="3"/>
      <c r="V31" s="3"/>
      <c r="W31" s="3"/>
      <c r="X31" s="3"/>
      <c r="Y31" s="3"/>
    </row>
    <row r="32" spans="2:28" ht="20.25" customHeight="1" x14ac:dyDescent="0.25">
      <c r="B32" s="219" t="s">
        <v>127</v>
      </c>
      <c r="C32" s="220"/>
      <c r="D32" s="221"/>
      <c r="E32" s="223">
        <f>IF($F$7="",E31*$M$10-E31*$M$10*$I$10%,E31*$M$10)</f>
        <v>3991.2599999999993</v>
      </c>
      <c r="F32" s="238" t="s">
        <v>172</v>
      </c>
      <c r="G32" s="243" t="s">
        <v>106</v>
      </c>
      <c r="H32" s="250">
        <v>2</v>
      </c>
      <c r="I32" s="216">
        <f>IF($J$7="",H32,H32/M34)</f>
        <v>2</v>
      </c>
      <c r="J32" s="200" t="s">
        <v>170</v>
      </c>
      <c r="M32" s="103">
        <f t="shared" si="0"/>
        <v>1.19</v>
      </c>
      <c r="S32" s="123" t="s">
        <v>149</v>
      </c>
      <c r="U32" s="3"/>
      <c r="V32" s="3"/>
      <c r="W32" s="3"/>
      <c r="X32" s="3"/>
      <c r="Y32" s="3"/>
    </row>
    <row r="33" spans="2:25" ht="20.25" customHeight="1" x14ac:dyDescent="0.25">
      <c r="B33" s="217" t="s">
        <v>128</v>
      </c>
      <c r="C33" s="210"/>
      <c r="D33" s="210"/>
      <c r="E33" s="224">
        <v>20</v>
      </c>
      <c r="F33" s="47" t="s">
        <v>5</v>
      </c>
      <c r="G33" s="205" t="s">
        <v>57</v>
      </c>
      <c r="H33" s="250">
        <v>8</v>
      </c>
      <c r="I33" s="216">
        <f>IF($J$7="",H33,H33/M34)</f>
        <v>8</v>
      </c>
      <c r="J33" s="200" t="s">
        <v>170</v>
      </c>
      <c r="L33" s="12"/>
      <c r="M33" s="103">
        <f t="shared" si="0"/>
        <v>1.19</v>
      </c>
      <c r="N33" s="4"/>
      <c r="O33" s="4"/>
      <c r="P33" s="57"/>
      <c r="R33" s="61"/>
      <c r="S33" s="123" t="s">
        <v>148</v>
      </c>
      <c r="T33" s="5"/>
      <c r="U33" s="3"/>
      <c r="V33" s="3"/>
      <c r="W33" s="3"/>
      <c r="X33" s="3"/>
      <c r="Y33" s="3"/>
    </row>
    <row r="34" spans="2:25" ht="20.25" customHeight="1" x14ac:dyDescent="0.25">
      <c r="B34" s="217" t="s">
        <v>129</v>
      </c>
      <c r="C34" s="210"/>
      <c r="D34" s="210"/>
      <c r="E34" s="224">
        <v>1</v>
      </c>
      <c r="F34" s="47" t="s">
        <v>1</v>
      </c>
      <c r="G34" s="244" t="s">
        <v>66</v>
      </c>
      <c r="H34" s="225">
        <v>1.4999999999999999E-2</v>
      </c>
      <c r="I34" s="226">
        <f>(H49+0.6*(I27+I28+I29+I30+I31+I33+H50))/E30*H34</f>
        <v>1.6201045161172603</v>
      </c>
      <c r="J34" s="234" t="s">
        <v>170</v>
      </c>
      <c r="L34" s="56"/>
      <c r="M34" s="103">
        <f t="shared" si="0"/>
        <v>1.19</v>
      </c>
      <c r="N34" s="4"/>
      <c r="O34" s="4"/>
      <c r="P34" s="58"/>
      <c r="R34" s="61"/>
      <c r="S34" s="123"/>
      <c r="T34" s="5"/>
      <c r="U34" s="3"/>
      <c r="V34" s="3"/>
      <c r="W34" s="3"/>
      <c r="X34" s="3"/>
      <c r="Y34" s="3"/>
    </row>
    <row r="35" spans="2:25" ht="20.25" customHeight="1" x14ac:dyDescent="0.25">
      <c r="B35" s="252" t="s">
        <v>96</v>
      </c>
      <c r="C35" s="227"/>
      <c r="D35" s="13"/>
      <c r="E35" s="228">
        <v>300</v>
      </c>
      <c r="F35" s="240" t="s">
        <v>97</v>
      </c>
      <c r="G35" s="201" t="s">
        <v>176</v>
      </c>
      <c r="H35" s="250">
        <v>60</v>
      </c>
      <c r="I35" s="216">
        <f>IF($J$7="",H35,H35/M36)</f>
        <v>60</v>
      </c>
      <c r="J35" s="200" t="s">
        <v>172</v>
      </c>
      <c r="L35" s="62"/>
      <c r="M35" s="103"/>
      <c r="N35" s="63"/>
      <c r="O35" s="63"/>
      <c r="P35" s="64"/>
      <c r="R35" s="61"/>
      <c r="S35" s="123" t="s">
        <v>186</v>
      </c>
      <c r="T35" s="5"/>
      <c r="U35" s="3"/>
      <c r="V35" s="3"/>
      <c r="W35" s="3"/>
      <c r="X35" s="3"/>
      <c r="Y35" s="3"/>
    </row>
    <row r="36" spans="2:25" ht="20.25" customHeight="1" thickBot="1" x14ac:dyDescent="0.3">
      <c r="B36" s="254" t="s">
        <v>144</v>
      </c>
      <c r="C36" s="229"/>
      <c r="D36" s="140"/>
      <c r="E36" s="279">
        <v>400</v>
      </c>
      <c r="F36" s="241" t="s">
        <v>98</v>
      </c>
      <c r="G36" s="254" t="s">
        <v>143</v>
      </c>
      <c r="H36" s="230"/>
      <c r="I36" s="231">
        <v>30</v>
      </c>
      <c r="J36" s="232" t="s">
        <v>173</v>
      </c>
      <c r="M36" s="103">
        <f>1+$E$10</f>
        <v>1.19</v>
      </c>
      <c r="R36" s="61"/>
      <c r="S36" s="123" t="s">
        <v>183</v>
      </c>
      <c r="T36" s="5"/>
      <c r="U36" s="3"/>
      <c r="V36" s="3"/>
      <c r="W36" s="3"/>
      <c r="X36" s="3"/>
      <c r="Y36" s="3"/>
    </row>
    <row r="37" spans="2:25" ht="20.25" customHeight="1" x14ac:dyDescent="0.25">
      <c r="R37" s="65"/>
      <c r="S37" s="123"/>
      <c r="T37" s="5"/>
      <c r="U37" s="3"/>
      <c r="V37" s="3"/>
      <c r="W37" s="3"/>
      <c r="X37" s="3"/>
      <c r="Y37" s="3"/>
    </row>
    <row r="38" spans="2:25" ht="11.25" customHeight="1" thickBot="1" x14ac:dyDescent="0.3">
      <c r="B38" s="25"/>
      <c r="C38" s="25"/>
      <c r="I38" s="25"/>
      <c r="J38" s="25"/>
      <c r="K38" s="17"/>
      <c r="R38" s="5"/>
      <c r="S38" s="121"/>
      <c r="T38" s="5"/>
      <c r="U38" s="3"/>
      <c r="V38" s="3"/>
      <c r="W38" s="3"/>
      <c r="X38" s="3"/>
      <c r="Y38" s="3"/>
    </row>
    <row r="39" spans="2:25" ht="25.2" thickBot="1" x14ac:dyDescent="0.3">
      <c r="B39" s="466" t="s">
        <v>116</v>
      </c>
      <c r="C39" s="467"/>
      <c r="D39" s="467"/>
      <c r="E39" s="467"/>
      <c r="F39" s="467"/>
      <c r="G39" s="467"/>
      <c r="H39" s="467"/>
      <c r="I39" s="467"/>
      <c r="J39" s="468"/>
      <c r="K39" s="17"/>
      <c r="L39" s="17"/>
      <c r="M39" s="4"/>
      <c r="N39" s="4"/>
      <c r="O39" s="4"/>
      <c r="P39" s="58"/>
      <c r="Q39" s="4"/>
      <c r="R39" s="5"/>
      <c r="S39" s="121"/>
      <c r="T39" s="5"/>
      <c r="U39" s="3">
        <f>4000*0.6</f>
        <v>2400</v>
      </c>
      <c r="V39" s="3"/>
      <c r="W39" s="3"/>
      <c r="X39" s="3"/>
      <c r="Y39" s="3"/>
    </row>
    <row r="40" spans="2:25" s="31" customFormat="1" ht="24" customHeight="1" x14ac:dyDescent="0.3">
      <c r="B40" s="46" t="s">
        <v>150</v>
      </c>
      <c r="C40" s="167" t="str">
        <f>IF($E$22="","ohne Prämien","mit Prämien")</f>
        <v>ohne Prämien</v>
      </c>
      <c r="D40" s="320"/>
      <c r="E40" s="169" t="str">
        <f>IF($E$22=0,"",CONCATENATE($E$22," €/Tier"))</f>
        <v/>
      </c>
      <c r="F40" s="321"/>
      <c r="G40" s="484" t="s">
        <v>65</v>
      </c>
      <c r="H40" s="484"/>
      <c r="I40" s="484"/>
      <c r="J40" s="485"/>
      <c r="K40" s="17"/>
      <c r="L40" s="56"/>
      <c r="M40" s="4"/>
      <c r="N40" s="4"/>
      <c r="O40" s="4"/>
      <c r="P40" s="58"/>
      <c r="Q40" s="4"/>
      <c r="R40" s="5"/>
      <c r="S40" s="121"/>
      <c r="T40" s="5"/>
      <c r="U40" s="35"/>
      <c r="V40" s="35"/>
      <c r="W40" s="35"/>
      <c r="X40" s="35"/>
      <c r="Y40" s="35"/>
    </row>
    <row r="41" spans="2:25" s="31" customFormat="1" ht="20.25" customHeight="1" thickBot="1" x14ac:dyDescent="0.35">
      <c r="B41" s="170" t="str">
        <f>IF($J$7="",$I$6,$I$7)</f>
        <v xml:space="preserve">Pauschalierung </v>
      </c>
      <c r="C41" s="168" t="str">
        <f>IF(F7="","mit Inv.förderung","ohne Inv.förderung")</f>
        <v>mit Inv.förderung</v>
      </c>
      <c r="D41" s="320"/>
      <c r="E41" s="120">
        <f>IF($F$6=""," ",$I$10/100)</f>
        <v>0.4</v>
      </c>
      <c r="F41" s="322"/>
      <c r="G41" s="323">
        <v>3</v>
      </c>
      <c r="H41" s="324">
        <v>2.5</v>
      </c>
      <c r="I41" s="490">
        <v>2.25</v>
      </c>
      <c r="J41" s="491"/>
      <c r="K41" s="36"/>
      <c r="L41" s="111"/>
      <c r="M41" s="112"/>
      <c r="N41" s="112"/>
      <c r="O41" s="112"/>
      <c r="P41" s="59"/>
      <c r="Q41" s="37"/>
      <c r="R41" s="5"/>
      <c r="S41" s="123" t="s">
        <v>197</v>
      </c>
      <c r="T41" s="5"/>
      <c r="U41" s="35"/>
      <c r="V41" s="35"/>
      <c r="W41" s="35"/>
      <c r="X41" s="35"/>
      <c r="Y41" s="35"/>
    </row>
    <row r="42" spans="2:25" ht="20.25" customHeight="1" x14ac:dyDescent="0.25">
      <c r="B42" s="325" t="s">
        <v>107</v>
      </c>
      <c r="C42" s="326"/>
      <c r="D42" s="327">
        <f>E20*(1-I22%)</f>
        <v>308.02799999999996</v>
      </c>
      <c r="E42" s="328">
        <f>E21*M9</f>
        <v>3.0995999999999997</v>
      </c>
      <c r="F42" s="329" t="s">
        <v>13</v>
      </c>
      <c r="G42" s="330">
        <f>H42</f>
        <v>954.76358879999987</v>
      </c>
      <c r="H42" s="330">
        <f>($E$20*(1-$I$22%)*($E$21)*$M$9+E22)</f>
        <v>954.76358879999987</v>
      </c>
      <c r="I42" s="331">
        <f>H42</f>
        <v>954.76358879999987</v>
      </c>
      <c r="J42" s="332"/>
      <c r="K42" s="471" t="s">
        <v>104</v>
      </c>
      <c r="L42" s="111"/>
      <c r="M42" s="112"/>
      <c r="N42" s="112"/>
      <c r="O42" s="112"/>
      <c r="P42" s="58"/>
      <c r="Q42" s="4"/>
      <c r="R42" s="5"/>
      <c r="S42" s="121"/>
      <c r="T42" s="5"/>
      <c r="U42" s="3"/>
      <c r="V42" s="3"/>
      <c r="W42" s="3"/>
      <c r="X42" s="3"/>
      <c r="Y42" s="3"/>
    </row>
    <row r="43" spans="2:25" ht="20.25" customHeight="1" x14ac:dyDescent="0.25">
      <c r="B43" s="333" t="s">
        <v>6</v>
      </c>
      <c r="C43" s="334"/>
      <c r="D43" s="334"/>
      <c r="E43" s="335"/>
      <c r="F43" s="275" t="s">
        <v>13</v>
      </c>
      <c r="G43" s="336">
        <f>$I$24*$M$10</f>
        <v>11.873456418755463</v>
      </c>
      <c r="H43" s="336">
        <f>$I$24*$M$10</f>
        <v>11.873456418755463</v>
      </c>
      <c r="I43" s="337">
        <f>$I$24*$M$10</f>
        <v>11.873456418755463</v>
      </c>
      <c r="J43" s="338"/>
      <c r="K43" s="471"/>
      <c r="L43" s="17"/>
      <c r="M43" s="4"/>
      <c r="N43" s="6"/>
      <c r="O43" s="4"/>
      <c r="P43" s="12"/>
      <c r="Q43" s="151"/>
      <c r="R43" s="5"/>
      <c r="S43" s="272" t="s">
        <v>133</v>
      </c>
      <c r="T43" s="258"/>
      <c r="U43" s="259"/>
      <c r="V43" s="260"/>
      <c r="W43" s="3"/>
      <c r="X43" s="3"/>
      <c r="Y43" s="3"/>
    </row>
    <row r="44" spans="2:25" ht="20.25" customHeight="1" x14ac:dyDescent="0.3">
      <c r="B44" s="421" t="s">
        <v>178</v>
      </c>
      <c r="C44" s="339"/>
      <c r="D44" s="339"/>
      <c r="E44" s="340"/>
      <c r="F44" s="341" t="s">
        <v>13</v>
      </c>
      <c r="G44" s="342">
        <f>G42+G43</f>
        <v>966.63704521875536</v>
      </c>
      <c r="H44" s="342">
        <f>H42+H43</f>
        <v>966.63704521875536</v>
      </c>
      <c r="I44" s="343">
        <f>I42+I43</f>
        <v>966.63704521875536</v>
      </c>
      <c r="J44" s="344"/>
      <c r="K44" s="471"/>
      <c r="L44" s="17"/>
      <c r="M44" s="4"/>
      <c r="N44" s="6"/>
      <c r="O44" s="4"/>
      <c r="P44" s="12"/>
      <c r="Q44" s="151"/>
      <c r="R44" s="5"/>
      <c r="S44" s="265" t="s">
        <v>134</v>
      </c>
      <c r="T44" s="257">
        <f>H49</f>
        <v>96.300000000000011</v>
      </c>
      <c r="U44" s="3"/>
      <c r="V44" s="261"/>
      <c r="W44" s="3"/>
      <c r="X44" s="3"/>
      <c r="Y44" s="3"/>
    </row>
    <row r="45" spans="2:25" ht="20.25" customHeight="1" x14ac:dyDescent="0.25">
      <c r="B45" s="333" t="s">
        <v>94</v>
      </c>
      <c r="C45" s="334"/>
      <c r="D45" s="334"/>
      <c r="E45" s="335"/>
      <c r="F45" s="275" t="s">
        <v>3</v>
      </c>
      <c r="G45" s="345">
        <f>$E$20</f>
        <v>319.2</v>
      </c>
      <c r="H45" s="346">
        <f>E20</f>
        <v>319.2</v>
      </c>
      <c r="I45" s="337">
        <f>E20</f>
        <v>319.2</v>
      </c>
      <c r="J45" s="347"/>
      <c r="K45" s="471"/>
      <c r="L45" s="16"/>
      <c r="M45" s="3"/>
      <c r="N45" s="3"/>
      <c r="O45" s="3"/>
      <c r="P45" s="55"/>
      <c r="Q45" s="3"/>
      <c r="R45" s="3"/>
      <c r="S45" s="265" t="s">
        <v>135</v>
      </c>
      <c r="T45" s="257">
        <f>H50</f>
        <v>502.52460120000006</v>
      </c>
      <c r="U45" s="3"/>
      <c r="V45" s="261"/>
      <c r="W45" s="3"/>
      <c r="X45" s="3"/>
      <c r="Y45" s="3"/>
    </row>
    <row r="46" spans="2:25" ht="20.25" customHeight="1" x14ac:dyDescent="0.25">
      <c r="B46" s="333" t="s">
        <v>88</v>
      </c>
      <c r="C46" s="334"/>
      <c r="D46" s="334"/>
      <c r="E46" s="335"/>
      <c r="F46" s="275" t="s">
        <v>3</v>
      </c>
      <c r="G46" s="345">
        <f>G45-G48</f>
        <v>315.2</v>
      </c>
      <c r="H46" s="348">
        <f>H45-H48</f>
        <v>315.2</v>
      </c>
      <c r="I46" s="337">
        <f>I45-I48</f>
        <v>315.2</v>
      </c>
      <c r="J46" s="347"/>
      <c r="K46" s="471"/>
      <c r="P46" s="12"/>
      <c r="S46" s="266" t="s">
        <v>136</v>
      </c>
      <c r="T46" s="257">
        <f>I27+I28</f>
        <v>13</v>
      </c>
      <c r="U46" s="3"/>
      <c r="V46" s="261"/>
    </row>
    <row r="47" spans="2:25" ht="20.25" customHeight="1" x14ac:dyDescent="0.3">
      <c r="B47" s="420" t="s">
        <v>123</v>
      </c>
      <c r="C47" s="349"/>
      <c r="D47" s="349"/>
      <c r="E47" s="350"/>
      <c r="F47" s="351" t="s">
        <v>3</v>
      </c>
      <c r="G47" s="352">
        <f>G46*G41*(1-$I$22%/2)</f>
        <v>929.05199999999991</v>
      </c>
      <c r="H47" s="353">
        <f>H46*H41*(1-$I$22%/2)</f>
        <v>774.21</v>
      </c>
      <c r="I47" s="354">
        <f>I46*I41*(1-$I$22%/2)</f>
        <v>696.78899999999999</v>
      </c>
      <c r="J47" s="355"/>
      <c r="K47" s="471"/>
      <c r="M47" s="314"/>
      <c r="P47" s="56"/>
      <c r="S47" s="267" t="s">
        <v>181</v>
      </c>
      <c r="T47" s="268">
        <f>I29+I30</f>
        <v>30</v>
      </c>
      <c r="U47" s="262"/>
      <c r="V47" s="263"/>
    </row>
    <row r="48" spans="2:25" ht="20.25" customHeight="1" x14ac:dyDescent="0.25">
      <c r="B48" s="356" t="s">
        <v>90</v>
      </c>
      <c r="C48" s="357"/>
      <c r="D48" s="357"/>
      <c r="E48" s="358"/>
      <c r="F48" s="38" t="s">
        <v>3</v>
      </c>
      <c r="G48" s="359">
        <f>$I$20</f>
        <v>4</v>
      </c>
      <c r="H48" s="360">
        <f>$I$20</f>
        <v>4</v>
      </c>
      <c r="I48" s="361">
        <f>$I$20</f>
        <v>4</v>
      </c>
      <c r="J48" s="362"/>
      <c r="K48" s="471"/>
      <c r="S48" s="267" t="s">
        <v>137</v>
      </c>
      <c r="T48" s="268">
        <f>I31</f>
        <v>8</v>
      </c>
      <c r="U48" s="262"/>
      <c r="V48" s="263"/>
    </row>
    <row r="49" spans="2:22" ht="20.25" customHeight="1" x14ac:dyDescent="0.25">
      <c r="B49" s="333" t="s">
        <v>95</v>
      </c>
      <c r="C49" s="334"/>
      <c r="D49" s="334"/>
      <c r="E49" s="335"/>
      <c r="F49" s="275" t="s">
        <v>13</v>
      </c>
      <c r="G49" s="348">
        <f>(I21)*$M$11</f>
        <v>96.300000000000011</v>
      </c>
      <c r="H49" s="348">
        <f>(I21)*$M$11</f>
        <v>96.300000000000011</v>
      </c>
      <c r="I49" s="337">
        <f>(I21)*$M$11</f>
        <v>96.300000000000011</v>
      </c>
      <c r="J49" s="338"/>
      <c r="K49" s="471"/>
      <c r="S49" s="267" t="s">
        <v>140</v>
      </c>
      <c r="T49" s="268">
        <f>I32+I33</f>
        <v>10</v>
      </c>
      <c r="U49" s="262"/>
      <c r="V49" s="263"/>
    </row>
    <row r="50" spans="2:22" ht="20.25" customHeight="1" x14ac:dyDescent="0.25">
      <c r="B50" s="333" t="s">
        <v>102</v>
      </c>
      <c r="C50" s="334"/>
      <c r="D50" s="334"/>
      <c r="E50" s="335"/>
      <c r="F50" s="275" t="s">
        <v>13</v>
      </c>
      <c r="G50" s="345">
        <f>(((G47-$C$26*100)*(1-$C$25)*$E$24/100)+(G47-$C$26*100)*($C$25*$E$25/100)+($E$26*$C$26)+$E$27)*$M$11</f>
        <v>601.27044144000001</v>
      </c>
      <c r="H50" s="348">
        <f>(((H47-$C$26*100)*(1-$C$25)*$E$24/100)+(H47-$C$26*100)*($C$25*$E$25/100)+($E$26*$C$26)+$E$27)*$M$11</f>
        <v>502.52460120000006</v>
      </c>
      <c r="I50" s="337">
        <f>(((I47-$C$26*100)*(1-$C$25)*$E$24/100)+(I47-$C$26*100)*($C$25*$E$25/100)+($E$26*$C$26)+$E$27)*$M$11</f>
        <v>453.15168108</v>
      </c>
      <c r="J50" s="338"/>
      <c r="K50" s="471"/>
      <c r="S50" s="267" t="s">
        <v>138</v>
      </c>
      <c r="T50" s="269">
        <f>I34+I35</f>
        <v>61.620104516117259</v>
      </c>
      <c r="U50" s="195" t="s">
        <v>139</v>
      </c>
      <c r="V50" s="263"/>
    </row>
    <row r="51" spans="2:22" ht="20.25" customHeight="1" x14ac:dyDescent="0.25">
      <c r="B51" s="356" t="s">
        <v>69</v>
      </c>
      <c r="C51" s="357"/>
      <c r="D51" s="357"/>
      <c r="E51" s="358"/>
      <c r="F51" s="38" t="s">
        <v>13</v>
      </c>
      <c r="G51" s="363">
        <f>$I$25</f>
        <v>62.620104516117259</v>
      </c>
      <c r="H51" s="364">
        <f>$I$25</f>
        <v>62.620104516117259</v>
      </c>
      <c r="I51" s="365">
        <f>$I$25</f>
        <v>62.620104516117259</v>
      </c>
      <c r="J51" s="366"/>
      <c r="K51" s="471"/>
      <c r="S51" s="267" t="s">
        <v>20</v>
      </c>
      <c r="T51" s="268">
        <f>H56/E30</f>
        <v>72.143391369862996</v>
      </c>
      <c r="U51" s="262"/>
      <c r="V51" s="263"/>
    </row>
    <row r="52" spans="2:22" ht="25.05" customHeight="1" x14ac:dyDescent="0.3">
      <c r="B52" s="367" t="s">
        <v>7</v>
      </c>
      <c r="C52" s="368"/>
      <c r="D52" s="368"/>
      <c r="E52" s="369"/>
      <c r="F52" s="370" t="s">
        <v>13</v>
      </c>
      <c r="G52" s="371">
        <f>G49+G50+G51</f>
        <v>760.19054595611726</v>
      </c>
      <c r="H52" s="372">
        <f>H49+H50+H51</f>
        <v>661.44470571611737</v>
      </c>
      <c r="I52" s="373">
        <f>I49+I50+I51</f>
        <v>612.07178559611737</v>
      </c>
      <c r="J52" s="374"/>
      <c r="K52" s="471"/>
      <c r="S52" s="270" t="s">
        <v>21</v>
      </c>
      <c r="T52" s="271">
        <f>(I36*$I$11)/E30</f>
        <v>119.67123287671232</v>
      </c>
      <c r="U52" s="280"/>
      <c r="V52" s="264"/>
    </row>
    <row r="53" spans="2:22" ht="25.05" customHeight="1" x14ac:dyDescent="0.3">
      <c r="B53" s="375" t="s">
        <v>15</v>
      </c>
      <c r="C53" s="376"/>
      <c r="D53" s="376"/>
      <c r="E53" s="377" t="s">
        <v>92</v>
      </c>
      <c r="F53" s="378" t="s">
        <v>13</v>
      </c>
      <c r="G53" s="379">
        <f>G44-G52</f>
        <v>206.4464992626381</v>
      </c>
      <c r="H53" s="379">
        <f>H44-H52</f>
        <v>305.19233950263799</v>
      </c>
      <c r="I53" s="380">
        <f>I44-I52</f>
        <v>354.565259622638</v>
      </c>
      <c r="J53" s="381"/>
      <c r="K53" s="471"/>
    </row>
    <row r="54" spans="2:22" ht="25.05" customHeight="1" x14ac:dyDescent="0.3">
      <c r="B54" s="382"/>
      <c r="C54" s="383"/>
      <c r="D54" s="383"/>
      <c r="E54" s="191" t="s">
        <v>93</v>
      </c>
      <c r="F54" s="44" t="s">
        <v>13</v>
      </c>
      <c r="G54" s="384">
        <f>G53*$E$30</f>
        <v>828.05463989959242</v>
      </c>
      <c r="H54" s="384">
        <f>H53*$E$30</f>
        <v>1224.1231199831084</v>
      </c>
      <c r="I54" s="385">
        <f>I53*$E$30</f>
        <v>1422.1573600248666</v>
      </c>
      <c r="J54" s="386"/>
      <c r="K54" s="471" t="s">
        <v>105</v>
      </c>
    </row>
    <row r="55" spans="2:22" s="30" customFormat="1" ht="21.15" hidden="1" customHeight="1" thickBot="1" x14ac:dyDescent="0.35">
      <c r="B55" s="479" t="s">
        <v>17</v>
      </c>
      <c r="C55" s="480"/>
      <c r="D55" s="480"/>
      <c r="E55" s="481"/>
      <c r="F55" s="387" t="s">
        <v>1</v>
      </c>
      <c r="G55" s="388">
        <f>G54/(G56+G58+G61)</f>
        <v>0.9984184189527251</v>
      </c>
      <c r="H55" s="388">
        <f>H54/(H56+H58+H61)</f>
        <v>1.4759739408080739</v>
      </c>
      <c r="I55" s="494">
        <f>I54/(I56+I58+I61)</f>
        <v>1.7147517017357488</v>
      </c>
      <c r="J55" s="495"/>
      <c r="K55" s="471"/>
      <c r="L55" s="29"/>
    </row>
    <row r="56" spans="2:22" ht="20.25" customHeight="1" x14ac:dyDescent="0.25">
      <c r="B56" s="389" t="s">
        <v>99</v>
      </c>
      <c r="C56" s="390"/>
      <c r="D56" s="316">
        <f>E32</f>
        <v>3991.2599999999993</v>
      </c>
      <c r="E56" s="317">
        <f>100/E33+E34+I9/2</f>
        <v>7.25</v>
      </c>
      <c r="F56" s="162" t="s">
        <v>13</v>
      </c>
      <c r="G56" s="163">
        <f>H56</f>
        <v>289.36634999999995</v>
      </c>
      <c r="H56" s="164">
        <f>($E$32/$E$33+($I$9/2+$E$34)%*$E$32)</f>
        <v>289.36634999999995</v>
      </c>
      <c r="I56" s="165">
        <f>H56</f>
        <v>289.36634999999995</v>
      </c>
      <c r="J56" s="166"/>
      <c r="K56" s="471"/>
      <c r="L56" s="196"/>
      <c r="M56" s="197"/>
      <c r="N56" s="197"/>
    </row>
    <row r="57" spans="2:22" ht="20.25" customHeight="1" x14ac:dyDescent="0.25">
      <c r="B57" s="391" t="s">
        <v>141</v>
      </c>
      <c r="C57" s="392"/>
      <c r="D57" s="273"/>
      <c r="E57" s="274"/>
      <c r="F57" s="275" t="s">
        <v>13</v>
      </c>
      <c r="G57" s="276">
        <f>$E$35/10000*$E$36</f>
        <v>12</v>
      </c>
      <c r="H57" s="276">
        <f>$E$35/10000*$E$36</f>
        <v>12</v>
      </c>
      <c r="I57" s="277">
        <f>$E$35/10000*$E$36</f>
        <v>12</v>
      </c>
      <c r="J57" s="278"/>
      <c r="K57" s="471"/>
      <c r="L57" s="196"/>
      <c r="M57" s="197"/>
      <c r="N57" s="197"/>
    </row>
    <row r="58" spans="2:22" ht="20.25" customHeight="1" x14ac:dyDescent="0.25">
      <c r="B58" s="393" t="s">
        <v>100</v>
      </c>
      <c r="C58" s="394"/>
      <c r="D58" s="394"/>
      <c r="E58" s="395"/>
      <c r="F58" s="38" t="s">
        <v>13</v>
      </c>
      <c r="G58" s="39">
        <f>I35</f>
        <v>60</v>
      </c>
      <c r="H58" s="40">
        <f>I35</f>
        <v>60</v>
      </c>
      <c r="I58" s="41">
        <f>I35</f>
        <v>60</v>
      </c>
      <c r="J58" s="42"/>
      <c r="K58" s="471"/>
    </row>
    <row r="59" spans="2:22" ht="25.05" customHeight="1" x14ac:dyDescent="0.3">
      <c r="B59" s="396" t="s">
        <v>91</v>
      </c>
      <c r="C59" s="397"/>
      <c r="D59" s="397"/>
      <c r="E59" s="190" t="s">
        <v>93</v>
      </c>
      <c r="F59" s="43" t="s">
        <v>13</v>
      </c>
      <c r="G59" s="175">
        <f>G54-G56-G57-G58</f>
        <v>466.68828989959252</v>
      </c>
      <c r="H59" s="175">
        <f>H54-H56-H57-H58</f>
        <v>862.75676998310837</v>
      </c>
      <c r="I59" s="176">
        <f>I54-I56-I57-I58</f>
        <v>1060.7910100248666</v>
      </c>
      <c r="J59" s="177"/>
      <c r="K59" s="471"/>
    </row>
    <row r="60" spans="2:22" ht="25.05" customHeight="1" x14ac:dyDescent="0.3">
      <c r="B60" s="382"/>
      <c r="C60" s="383"/>
      <c r="D60" s="383"/>
      <c r="E60" s="191" t="s">
        <v>16</v>
      </c>
      <c r="F60" s="44" t="s">
        <v>13</v>
      </c>
      <c r="G60" s="159">
        <f>G59/$I$36</f>
        <v>15.556276329986417</v>
      </c>
      <c r="H60" s="159">
        <f>H59/$I$36</f>
        <v>28.758558999436946</v>
      </c>
      <c r="I60" s="160">
        <f>I59/$I$36</f>
        <v>35.35970033416222</v>
      </c>
      <c r="J60" s="161"/>
      <c r="K60" s="471"/>
    </row>
    <row r="61" spans="2:22" ht="20.25" customHeight="1" x14ac:dyDescent="0.25">
      <c r="B61" s="393" t="s">
        <v>103</v>
      </c>
      <c r="C61" s="394"/>
      <c r="D61" s="319">
        <f>I36</f>
        <v>30</v>
      </c>
      <c r="E61" s="318">
        <f>I11</f>
        <v>16</v>
      </c>
      <c r="F61" s="38" t="s">
        <v>13</v>
      </c>
      <c r="G61" s="155">
        <f>$I$36*$I$11</f>
        <v>480</v>
      </c>
      <c r="H61" s="155">
        <f>$I$36*$I$11</f>
        <v>480</v>
      </c>
      <c r="I61" s="472">
        <f>$I$36*$I$11</f>
        <v>480</v>
      </c>
      <c r="J61" s="473"/>
      <c r="K61" s="471"/>
      <c r="L61" s="10"/>
    </row>
    <row r="62" spans="2:22" ht="25.05" customHeight="1" x14ac:dyDescent="0.3">
      <c r="B62" s="396" t="s">
        <v>131</v>
      </c>
      <c r="C62" s="397"/>
      <c r="D62" s="397"/>
      <c r="E62" s="190" t="s">
        <v>130</v>
      </c>
      <c r="F62" s="43" t="s">
        <v>13</v>
      </c>
      <c r="G62" s="175">
        <f>G59-G61</f>
        <v>-13.311710100407481</v>
      </c>
      <c r="H62" s="175">
        <f>H59-H61</f>
        <v>382.75676998310837</v>
      </c>
      <c r="I62" s="176">
        <f>I59-I61</f>
        <v>580.79101002486664</v>
      </c>
      <c r="J62" s="178"/>
      <c r="K62" s="471"/>
    </row>
    <row r="63" spans="2:22" ht="25.05" customHeight="1" x14ac:dyDescent="0.3">
      <c r="B63" s="382" t="s">
        <v>14</v>
      </c>
      <c r="C63" s="383"/>
      <c r="D63" s="383"/>
      <c r="E63" s="398"/>
      <c r="F63" s="44" t="s">
        <v>1</v>
      </c>
      <c r="G63" s="426">
        <f>(G54-G57-G58-G61-$E$32/$E$33-$E$32*$E$34%)/$E$32*2</f>
        <v>1.8329570060378164E-2</v>
      </c>
      <c r="H63" s="427">
        <f>(H54-H57-H58-H61-$E$32/$E$33-$E$32*$E$34%)/$E$32*2</f>
        <v>0.21679746244700093</v>
      </c>
      <c r="I63" s="492">
        <f>(I54-I57-I58-I61-$E$32/$E$33-$E$32*$E$34%)/$E$32*2</f>
        <v>0.31603140864031248</v>
      </c>
      <c r="J63" s="493">
        <f>(J54-J57-J58-J61-$E$32/$E$33-$E$32*$E$34%)/$E$32*2</f>
        <v>-0.12</v>
      </c>
      <c r="L63" s="173" t="s">
        <v>142</v>
      </c>
    </row>
    <row r="64" spans="2:22" ht="25.05" customHeight="1" x14ac:dyDescent="0.3">
      <c r="B64" s="474" t="s">
        <v>110</v>
      </c>
      <c r="C64" s="475"/>
      <c r="D64" s="475"/>
      <c r="E64" s="476"/>
      <c r="F64" s="45"/>
      <c r="G64" s="66"/>
      <c r="H64" s="66"/>
      <c r="I64" s="67"/>
      <c r="J64" s="68"/>
      <c r="K64" s="233"/>
      <c r="L64"/>
      <c r="M64"/>
      <c r="N64"/>
    </row>
    <row r="65" spans="2:14" ht="25.05" customHeight="1" x14ac:dyDescent="0.3">
      <c r="B65" s="419" t="s">
        <v>72</v>
      </c>
      <c r="C65" s="400"/>
      <c r="D65" s="422"/>
      <c r="E65" s="422"/>
      <c r="F65" s="423" t="s">
        <v>13</v>
      </c>
      <c r="G65" s="424">
        <f>((G52*$E$30+G56+G58+G61)-($E$23+G43)*$E$30)/($E$20*$E$30*(1-$I$22%))/$M$9</f>
        <v>2.8009590661736734</v>
      </c>
      <c r="H65" s="425">
        <f>((H52*$E$30+H56+H58+H61)-($E$23+H43)*$E$30)/($E$20*$E$30*(1-$I$22%))/$M$9</f>
        <v>2.5113707786484807</v>
      </c>
      <c r="I65" s="496">
        <f>((I52*$E$30+I56+I58+I61)-($E$23+I43)*$E$30)/($E$20*$E$30*(1-$I$22%))/$M$9</f>
        <v>2.3665766348858837</v>
      </c>
      <c r="J65" s="497">
        <f>((J52*$E$30+J56+J58+J61)-($E$23+J43)*$E$30)/($E$20*$E$30*(1-$I$22%))/$M$9</f>
        <v>0</v>
      </c>
      <c r="K65" s="233"/>
      <c r="L65"/>
      <c r="M65"/>
      <c r="N65"/>
    </row>
    <row r="66" spans="2:14" ht="20.25" customHeight="1" x14ac:dyDescent="0.3">
      <c r="B66" s="399" t="s">
        <v>73</v>
      </c>
      <c r="C66" s="400"/>
      <c r="D66" s="401"/>
      <c r="E66" s="401"/>
      <c r="F66" s="415" t="s">
        <v>13</v>
      </c>
      <c r="G66" s="416">
        <f>G65-$E$22/$E$20</f>
        <v>2.8009590661736734</v>
      </c>
      <c r="H66" s="416">
        <f>H65-$E$22/$E$20</f>
        <v>2.5113707786484807</v>
      </c>
      <c r="I66" s="486">
        <f>I65-$E$22/$E$20</f>
        <v>2.3665766348858837</v>
      </c>
      <c r="J66" s="487"/>
      <c r="L66" s="173" t="s">
        <v>108</v>
      </c>
      <c r="M66"/>
      <c r="N66"/>
    </row>
    <row r="67" spans="2:14" ht="20.25" customHeight="1" thickBot="1" x14ac:dyDescent="0.35">
      <c r="B67" s="402" t="s">
        <v>74</v>
      </c>
      <c r="C67" s="403"/>
      <c r="D67" s="404"/>
      <c r="E67" s="404"/>
      <c r="F67" s="417" t="s">
        <v>13</v>
      </c>
      <c r="G67" s="418">
        <f>G65-(G61+G58+G56)/($E$20*$E$30*(1-$I$22%))/$M$9</f>
        <v>2.1945619578330247</v>
      </c>
      <c r="H67" s="418">
        <f>H65-(H61+H58+H56)/($E$20*$E$30*(1-$I$22%))/$M$9</f>
        <v>1.9049736703078317</v>
      </c>
      <c r="I67" s="488">
        <f>I65-(I61+I58+I56)/($E$20*$E$30*(1-$I$22%))/$M$9</f>
        <v>1.7601795265452347</v>
      </c>
      <c r="J67" s="489">
        <f>J65-(J61+J58+J56)/($E$20*$E$30*(1-$I$22%))/$M$9</f>
        <v>0</v>
      </c>
      <c r="L67" s="173" t="s">
        <v>109</v>
      </c>
    </row>
    <row r="68" spans="2:14" ht="17.399999999999999" x14ac:dyDescent="0.3">
      <c r="B68" s="405"/>
      <c r="C68" s="405"/>
      <c r="D68" s="405"/>
      <c r="E68" s="405"/>
      <c r="F68" s="406"/>
      <c r="G68" s="406"/>
      <c r="H68" s="406"/>
      <c r="I68" s="406"/>
      <c r="J68" s="406"/>
    </row>
    <row r="69" spans="2:14" s="179" customFormat="1" ht="15" x14ac:dyDescent="0.25">
      <c r="B69" s="400" t="s">
        <v>157</v>
      </c>
      <c r="C69" s="407"/>
      <c r="D69" s="407"/>
      <c r="E69" s="407"/>
      <c r="F69" s="408"/>
      <c r="G69" s="408"/>
      <c r="H69" s="408"/>
      <c r="I69" s="408"/>
      <c r="J69" s="408"/>
      <c r="K69" s="73"/>
      <c r="L69" s="73"/>
    </row>
    <row r="70" spans="2:14" ht="13.95" customHeight="1" x14ac:dyDescent="0.25">
      <c r="B70" s="303" t="s">
        <v>158</v>
      </c>
      <c r="C70" s="407"/>
      <c r="D70" s="407"/>
      <c r="E70" s="407"/>
      <c r="F70" s="409"/>
      <c r="G70" s="410"/>
      <c r="H70" s="410"/>
      <c r="I70" s="410"/>
      <c r="J70" s="409"/>
    </row>
    <row r="71" spans="2:14" ht="25.05" customHeight="1" x14ac:dyDescent="0.3">
      <c r="B71" s="304" t="s">
        <v>162</v>
      </c>
      <c r="C71" s="407"/>
      <c r="D71" s="407"/>
      <c r="E71" s="407"/>
      <c r="F71" s="409"/>
      <c r="G71" s="411"/>
      <c r="H71" s="411"/>
      <c r="I71" s="411"/>
      <c r="J71" s="409"/>
    </row>
    <row r="72" spans="2:14" ht="13.95" customHeight="1" x14ac:dyDescent="0.25">
      <c r="B72" s="303" t="s">
        <v>161</v>
      </c>
      <c r="C72" s="407"/>
      <c r="D72" s="407"/>
      <c r="E72" s="407"/>
      <c r="F72" s="409"/>
      <c r="G72" s="412"/>
      <c r="H72" s="412"/>
      <c r="I72" s="412"/>
      <c r="J72" s="409"/>
    </row>
    <row r="73" spans="2:14" ht="13.95" customHeight="1" x14ac:dyDescent="0.25">
      <c r="B73" s="303" t="s">
        <v>159</v>
      </c>
      <c r="C73" s="407"/>
      <c r="D73" s="407"/>
      <c r="E73" s="407"/>
      <c r="F73" s="409"/>
      <c r="G73" s="412"/>
      <c r="H73" s="412"/>
      <c r="I73" s="412"/>
      <c r="J73" s="409"/>
    </row>
    <row r="74" spans="2:14" ht="13.95" customHeight="1" x14ac:dyDescent="0.25">
      <c r="B74" s="303" t="s">
        <v>160</v>
      </c>
      <c r="C74" s="407"/>
      <c r="D74" s="407"/>
      <c r="E74" s="407"/>
      <c r="F74" s="409"/>
      <c r="G74" s="412"/>
      <c r="H74" s="412"/>
      <c r="I74" s="412"/>
      <c r="J74" s="409"/>
    </row>
    <row r="75" spans="2:14" x14ac:dyDescent="0.25">
      <c r="B75" s="407"/>
      <c r="C75" s="407"/>
      <c r="D75" s="407"/>
      <c r="E75" s="407"/>
      <c r="F75" s="409"/>
      <c r="G75" s="409"/>
      <c r="H75" s="409"/>
      <c r="I75" s="409"/>
      <c r="J75" s="409"/>
    </row>
    <row r="76" spans="2:14" x14ac:dyDescent="0.25">
      <c r="B76" s="407"/>
      <c r="C76" s="407"/>
      <c r="D76" s="407"/>
      <c r="E76" s="407"/>
      <c r="F76" s="413"/>
      <c r="G76" s="414"/>
      <c r="H76" s="414"/>
      <c r="I76" s="414"/>
      <c r="J76" s="409"/>
    </row>
    <row r="77" spans="2:14" x14ac:dyDescent="0.25">
      <c r="B77"/>
      <c r="C77"/>
      <c r="D77"/>
      <c r="E77"/>
      <c r="F77" s="69"/>
      <c r="G77" s="70"/>
      <c r="H77" s="70"/>
      <c r="I77" s="70"/>
    </row>
    <row r="78" spans="2:14" x14ac:dyDescent="0.25">
      <c r="B78"/>
      <c r="C78"/>
      <c r="D78"/>
      <c r="E78"/>
      <c r="F78" s="69"/>
      <c r="G78" s="70"/>
      <c r="H78" s="70"/>
      <c r="I78" s="70"/>
    </row>
    <row r="79" spans="2:14" x14ac:dyDescent="0.25">
      <c r="B79"/>
      <c r="C79"/>
      <c r="D79"/>
      <c r="E79"/>
    </row>
    <row r="80" spans="2:14" x14ac:dyDescent="0.25">
      <c r="G80" s="54"/>
      <c r="H80" s="54"/>
      <c r="I80" s="54"/>
    </row>
    <row r="81" spans="2:12" x14ac:dyDescent="0.25">
      <c r="G81" s="54"/>
      <c r="H81" s="54"/>
      <c r="I81" s="54"/>
    </row>
    <row r="82" spans="2:12" x14ac:dyDescent="0.25">
      <c r="G82" s="54"/>
      <c r="H82" s="54"/>
      <c r="I82" s="54"/>
    </row>
    <row r="83" spans="2:12" x14ac:dyDescent="0.25">
      <c r="G83" s="71"/>
      <c r="H83" s="71"/>
      <c r="I83" s="71"/>
    </row>
    <row r="84" spans="2:12" x14ac:dyDescent="0.25">
      <c r="G84" s="72"/>
      <c r="H84" s="72"/>
      <c r="I84" s="72"/>
    </row>
    <row r="85" spans="2:12" x14ac:dyDescent="0.25">
      <c r="G85" s="72"/>
      <c r="H85" s="72"/>
      <c r="I85" s="72"/>
    </row>
    <row r="86" spans="2:12" ht="15" x14ac:dyDescent="0.25">
      <c r="B86" s="12"/>
      <c r="C86" s="12"/>
      <c r="D86" s="12"/>
      <c r="E86" s="12"/>
      <c r="F86" s="12"/>
      <c r="G86" s="53"/>
      <c r="H86" s="53"/>
      <c r="I86" s="53"/>
      <c r="J86" s="12"/>
    </row>
    <row r="87" spans="2:12" ht="15" x14ac:dyDescent="0.25">
      <c r="B87" s="74"/>
      <c r="C87" s="74"/>
      <c r="D87" s="12"/>
      <c r="E87" s="12"/>
      <c r="F87" s="12"/>
      <c r="G87" s="50"/>
      <c r="H87" s="50"/>
      <c r="I87" s="50"/>
      <c r="J87" s="12"/>
    </row>
    <row r="88" spans="2:12" ht="15" x14ac:dyDescent="0.25">
      <c r="B88" s="49"/>
      <c r="C88" s="49"/>
      <c r="D88" s="12"/>
      <c r="E88" s="12"/>
      <c r="F88" s="12"/>
      <c r="G88" s="51"/>
      <c r="H88" s="51"/>
      <c r="I88" s="51"/>
      <c r="J88" s="12"/>
    </row>
    <row r="89" spans="2:12" ht="15" x14ac:dyDescent="0.25">
      <c r="B89" s="49"/>
      <c r="C89" s="49"/>
      <c r="D89" s="12"/>
      <c r="E89" s="12"/>
      <c r="F89" s="12"/>
      <c r="G89" s="51"/>
      <c r="H89" s="51"/>
      <c r="I89" s="51"/>
      <c r="J89" s="12"/>
    </row>
    <row r="90" spans="2:12" ht="15" x14ac:dyDescent="0.25">
      <c r="B90" s="49"/>
      <c r="C90" s="49"/>
      <c r="D90" s="12"/>
      <c r="E90" s="12"/>
      <c r="F90" s="12"/>
      <c r="G90" s="52"/>
      <c r="H90" s="52"/>
      <c r="I90" s="52"/>
      <c r="J90" s="12"/>
    </row>
    <row r="92" spans="2:12" s="88" customFormat="1" ht="13.8" x14ac:dyDescent="0.25">
      <c r="B92" s="49"/>
      <c r="C92" s="49"/>
      <c r="D92" s="49"/>
      <c r="E92" s="49"/>
      <c r="F92" s="49"/>
      <c r="G92" s="87"/>
      <c r="H92" s="87"/>
      <c r="I92" s="87"/>
      <c r="J92" s="49"/>
      <c r="K92" s="49"/>
      <c r="L92" s="49"/>
    </row>
    <row r="93" spans="2:12" s="88" customFormat="1" ht="13.8" x14ac:dyDescent="0.25">
      <c r="B93" s="49"/>
      <c r="C93" s="49"/>
      <c r="D93" s="49"/>
      <c r="E93" s="49"/>
      <c r="F93" s="49"/>
      <c r="G93" s="87"/>
      <c r="H93" s="87"/>
      <c r="I93" s="87"/>
      <c r="J93" s="49"/>
      <c r="K93" s="49"/>
      <c r="L93" s="49"/>
    </row>
    <row r="94" spans="2:12" s="88" customFormat="1" ht="13.8" x14ac:dyDescent="0.25">
      <c r="B94" s="49"/>
      <c r="C94" s="49"/>
      <c r="D94" s="49"/>
      <c r="E94" s="49"/>
      <c r="F94" s="49"/>
      <c r="G94" s="87"/>
      <c r="H94" s="87"/>
      <c r="I94" s="87"/>
      <c r="J94" s="49"/>
      <c r="K94" s="49"/>
      <c r="L94" s="49"/>
    </row>
    <row r="95" spans="2:12" s="88" customFormat="1" ht="13.8" x14ac:dyDescent="0.25">
      <c r="B95" s="49"/>
      <c r="C95" s="49"/>
      <c r="D95" s="49"/>
      <c r="E95" s="49"/>
      <c r="F95" s="49"/>
      <c r="G95" s="87"/>
      <c r="H95" s="87"/>
      <c r="I95" s="87"/>
      <c r="J95" s="49"/>
      <c r="K95" s="49"/>
      <c r="L95" s="49"/>
    </row>
    <row r="96" spans="2:12" s="88" customFormat="1" ht="13.8" x14ac:dyDescent="0.25">
      <c r="B96" s="49"/>
      <c r="C96" s="49"/>
      <c r="D96" s="49"/>
      <c r="E96" s="49"/>
      <c r="F96" s="49"/>
      <c r="G96" s="89"/>
      <c r="H96" s="89"/>
      <c r="I96" s="89"/>
      <c r="J96" s="49"/>
      <c r="K96" s="49"/>
      <c r="L96" s="49"/>
    </row>
  </sheetData>
  <sheetProtection sheet="1" objects="1" scenarios="1"/>
  <mergeCells count="21">
    <mergeCell ref="I66:J66"/>
    <mergeCell ref="I67:J67"/>
    <mergeCell ref="I41:J41"/>
    <mergeCell ref="I63:J63"/>
    <mergeCell ref="I55:J55"/>
    <mergeCell ref="I65:J65"/>
    <mergeCell ref="K42:K53"/>
    <mergeCell ref="K54:K62"/>
    <mergeCell ref="I61:J61"/>
    <mergeCell ref="B64:E64"/>
    <mergeCell ref="G20:H20"/>
    <mergeCell ref="B55:E55"/>
    <mergeCell ref="G22:H22"/>
    <mergeCell ref="G40:J40"/>
    <mergeCell ref="I4:J4"/>
    <mergeCell ref="B2:G2"/>
    <mergeCell ref="I13:J13"/>
    <mergeCell ref="L2:N2"/>
    <mergeCell ref="B39:J39"/>
    <mergeCell ref="B19:J19"/>
    <mergeCell ref="G21:H21"/>
  </mergeCells>
  <phoneticPr fontId="0" type="noConversion"/>
  <printOptions horizontalCentered="1" gridLinesSet="0"/>
  <pageMargins left="0.23622047244094491" right="0.23622047244094491" top="0.74803149606299213" bottom="0.74803149606299213" header="0.31496062992125984" footer="0.31496062992125984"/>
  <pageSetup paperSize="9" scale="54" fitToHeight="0" orientation="portrait" verticalDpi="300" r:id="rId1"/>
  <headerFooter alignWithMargins="0">
    <oddFooter>&amp;LLEL, Abt.2,J. Miez, K.Schabel, V. Segger&amp;C&amp;F&amp;R&amp;D</oddFooter>
  </headerFooter>
  <colBreaks count="1" manualBreakCount="1">
    <brk id="12" max="1048575" man="1"/>
  </colBreaks>
  <ignoredErrors>
    <ignoredError sqref="G48:J48"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2"/>
  <sheetViews>
    <sheetView zoomScale="69" zoomScaleNormal="69" workbookViewId="0">
      <selection activeCell="P3" sqref="P3"/>
    </sheetView>
  </sheetViews>
  <sheetFormatPr baseColWidth="10" defaultRowHeight="13.2" x14ac:dyDescent="0.25"/>
  <cols>
    <col min="1" max="1" width="2.109375" customWidth="1"/>
  </cols>
  <sheetData>
    <row r="2" spans="2:12" ht="5.4" customHeight="1" thickBot="1" x14ac:dyDescent="0.3"/>
    <row r="3" spans="2:12" ht="40.049999999999997" customHeight="1" thickBot="1" x14ac:dyDescent="0.3">
      <c r="B3" s="459" t="s">
        <v>85</v>
      </c>
      <c r="C3" s="460"/>
      <c r="D3" s="460"/>
      <c r="E3" s="460"/>
      <c r="F3" s="460"/>
      <c r="G3" s="460"/>
      <c r="H3" s="498" t="s">
        <v>83</v>
      </c>
      <c r="I3" s="498"/>
      <c r="J3" s="498"/>
      <c r="K3" s="498"/>
      <c r="L3" s="248" t="str">
        <f>Hühnermast!J2</f>
        <v>Erstellt 07/2018</v>
      </c>
    </row>
    <row r="4" spans="2:12" ht="20.399999999999999" customHeight="1" x14ac:dyDescent="0.25"/>
    <row r="22" ht="38.700000000000003" customHeight="1" x14ac:dyDescent="0.25"/>
    <row r="52" ht="101.85" customHeight="1" x14ac:dyDescent="0.25"/>
  </sheetData>
  <sheetProtection sheet="1" objects="1" scenarios="1"/>
  <mergeCells count="2">
    <mergeCell ref="B3:G3"/>
    <mergeCell ref="H3:K3"/>
  </mergeCells>
  <pageMargins left="0.25" right="0.25" top="0.75" bottom="0.75" header="0.3" footer="0.3"/>
  <pageSetup paperSize="9" scale="83" orientation="portrait" r:id="rId1"/>
  <headerFooter alignWithMargins="0">
    <oddFooter>&amp;LLEL, Abt.2, K.Schabel, V. Segger&amp;C&amp;F&amp;R&amp;D</oddFooter>
  </headerFooter>
  <rowBreaks count="1" manualBreakCount="1">
    <brk id="54" max="16383" man="1"/>
  </rowBreaks>
  <colBreaks count="1" manualBreakCount="1">
    <brk id="22" min="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election activeCell="H29" sqref="H29"/>
    </sheetView>
  </sheetViews>
  <sheetFormatPr baseColWidth="10" defaultRowHeight="13.2" x14ac:dyDescent="0.25"/>
  <sheetData/>
  <pageMargins left="0.7" right="0.7" top="0.78740157499999996" bottom="0.78740157499999996" header="0.3" footer="0.3"/>
  <pageSetup paperSize="9" orientation="portrait" verticalDpi="0" r:id="rId1"/>
  <headerFooter>
    <oddFooter>&amp;C&amp;F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96"/>
  <sheetViews>
    <sheetView zoomScaleNormal="100" workbookViewId="0">
      <selection activeCell="E10" sqref="E10"/>
    </sheetView>
  </sheetViews>
  <sheetFormatPr baseColWidth="10" defaultColWidth="11.33203125" defaultRowHeight="13.2" x14ac:dyDescent="0.25"/>
  <cols>
    <col min="1" max="1" width="1.33203125" style="1" customWidth="1"/>
    <col min="2" max="2" width="27.21875" style="11" customWidth="1"/>
    <col min="3" max="3" width="13" style="11" customWidth="1"/>
    <col min="4" max="4" width="25.77734375" style="11" customWidth="1"/>
    <col min="5" max="5" width="18.33203125" style="11" customWidth="1"/>
    <col min="6" max="6" width="8.88671875" style="11" customWidth="1"/>
    <col min="7" max="7" width="31.109375" style="11" customWidth="1"/>
    <col min="8" max="8" width="20.33203125" style="11" customWidth="1"/>
    <col min="9" max="9" width="11" style="11" customWidth="1"/>
    <col min="10" max="10" width="11.21875" style="11" customWidth="1"/>
    <col min="11" max="11" width="9.77734375" style="11" customWidth="1"/>
    <col min="12" max="12" width="8.33203125" style="11" customWidth="1"/>
    <col min="13" max="13" width="11.44140625" style="1" customWidth="1"/>
    <col min="14" max="14" width="4" style="1" customWidth="1"/>
    <col min="15" max="15" width="1.44140625" style="1" customWidth="1"/>
    <col min="16" max="16" width="4.109375" style="1" hidden="1" customWidth="1"/>
    <col min="17" max="17" width="18.77734375" style="1" hidden="1" customWidth="1"/>
    <col min="18" max="18" width="5.21875" style="1" customWidth="1"/>
    <col min="19" max="39" width="0" style="1" hidden="1" customWidth="1"/>
    <col min="40" max="16384" width="11.33203125" style="1"/>
  </cols>
  <sheetData>
    <row r="1" spans="2:22" ht="6.15" customHeight="1" thickBot="1" x14ac:dyDescent="0.35">
      <c r="B1" s="10"/>
      <c r="C1" s="10"/>
      <c r="D1" s="10"/>
      <c r="E1" s="10"/>
      <c r="F1" s="10"/>
      <c r="G1" s="10"/>
      <c r="H1" s="10"/>
      <c r="I1" s="10"/>
      <c r="J1" s="10"/>
      <c r="K1" s="10"/>
      <c r="L1" s="10"/>
      <c r="M1" s="2"/>
      <c r="N1" s="2"/>
      <c r="O1" s="2"/>
    </row>
    <row r="2" spans="2:22" ht="36" customHeight="1" thickBot="1" x14ac:dyDescent="0.35">
      <c r="B2" s="459" t="s">
        <v>85</v>
      </c>
      <c r="C2" s="460"/>
      <c r="D2" s="460"/>
      <c r="E2" s="460"/>
      <c r="F2" s="460"/>
      <c r="G2" s="460"/>
      <c r="H2" s="432" t="s">
        <v>199</v>
      </c>
      <c r="I2" s="247"/>
      <c r="J2" s="248" t="s">
        <v>187</v>
      </c>
      <c r="L2" s="463" t="s">
        <v>38</v>
      </c>
      <c r="M2" s="464"/>
      <c r="N2" s="465"/>
      <c r="O2" s="2"/>
    </row>
    <row r="3" spans="2:22" ht="14.25" customHeight="1" thickBot="1" x14ac:dyDescent="0.3">
      <c r="B3" s="75"/>
      <c r="C3" s="75"/>
      <c r="D3" s="75"/>
      <c r="E3" s="75"/>
      <c r="F3" s="75"/>
      <c r="G3" s="75"/>
      <c r="H3" s="75"/>
      <c r="I3" s="75"/>
      <c r="J3" s="75"/>
      <c r="K3" s="10"/>
      <c r="L3" s="10"/>
      <c r="M3"/>
      <c r="N3"/>
      <c r="O3"/>
    </row>
    <row r="4" spans="2:22" ht="22.65" customHeight="1" thickBot="1" x14ac:dyDescent="0.35">
      <c r="B4" s="96" t="s">
        <v>26</v>
      </c>
      <c r="C4" s="96"/>
      <c r="D4" s="149" t="s">
        <v>19</v>
      </c>
      <c r="F4" s="145" t="s">
        <v>27</v>
      </c>
      <c r="G4" s="146" t="s">
        <v>62</v>
      </c>
      <c r="H4" s="96" t="s">
        <v>18</v>
      </c>
      <c r="I4" s="457"/>
      <c r="J4" s="458"/>
      <c r="M4"/>
      <c r="N4"/>
      <c r="O4"/>
    </row>
    <row r="5" spans="2:22" ht="4.8" customHeight="1" x14ac:dyDescent="0.25">
      <c r="B5" s="76"/>
      <c r="C5" s="76"/>
      <c r="D5" s="76"/>
      <c r="E5" s="76"/>
      <c r="F5" s="76"/>
      <c r="G5" s="76"/>
      <c r="H5" s="76"/>
      <c r="I5" s="76"/>
      <c r="J5" s="76"/>
      <c r="K5" s="10"/>
      <c r="L5" s="10"/>
      <c r="M5"/>
      <c r="N5"/>
      <c r="O5"/>
    </row>
    <row r="6" spans="2:22" ht="14.25" customHeight="1" x14ac:dyDescent="0.25">
      <c r="B6" s="117"/>
      <c r="C6" s="117"/>
      <c r="D6" s="118" t="s">
        <v>32</v>
      </c>
      <c r="E6" s="119" t="s">
        <v>25</v>
      </c>
      <c r="F6" s="150" t="s">
        <v>30</v>
      </c>
      <c r="G6" s="113" t="s">
        <v>39</v>
      </c>
      <c r="H6" s="114"/>
      <c r="I6" s="115" t="s">
        <v>28</v>
      </c>
      <c r="J6" s="150" t="s">
        <v>30</v>
      </c>
      <c r="L6" s="182" t="s">
        <v>80</v>
      </c>
      <c r="M6" s="183"/>
      <c r="N6" s="183"/>
      <c r="O6" s="183"/>
      <c r="P6" s="183"/>
      <c r="Q6" s="183"/>
      <c r="R6" s="183"/>
      <c r="S6" s="183"/>
      <c r="T6" s="183"/>
      <c r="U6" s="183"/>
      <c r="V6" s="183"/>
    </row>
    <row r="7" spans="2:22" ht="14.25" customHeight="1" x14ac:dyDescent="0.3">
      <c r="E7" s="119" t="s">
        <v>24</v>
      </c>
      <c r="F7" s="315" t="str">
        <f>IF(F6="","X","")</f>
        <v/>
      </c>
      <c r="G7" s="116"/>
      <c r="H7" s="114"/>
      <c r="I7" s="115" t="s">
        <v>29</v>
      </c>
      <c r="J7" s="315" t="str">
        <f>IF($J$6="","x","")</f>
        <v/>
      </c>
      <c r="L7" s="10"/>
      <c r="M7" s="107" t="s">
        <v>0</v>
      </c>
      <c r="N7"/>
      <c r="O7"/>
      <c r="S7"/>
    </row>
    <row r="8" spans="2:22" ht="12.3" customHeight="1" thickBot="1" x14ac:dyDescent="0.35">
      <c r="D8" s="76"/>
      <c r="E8" s="76"/>
      <c r="F8" s="76"/>
      <c r="G8" s="76"/>
      <c r="H8" s="76"/>
      <c r="I8" s="76"/>
      <c r="J8" s="76"/>
      <c r="L8" s="15"/>
      <c r="M8" s="108"/>
      <c r="N8"/>
      <c r="O8" s="2"/>
      <c r="S8"/>
    </row>
    <row r="9" spans="2:22" ht="19.5" customHeight="1" x14ac:dyDescent="0.3">
      <c r="B9" s="77" t="s">
        <v>71</v>
      </c>
      <c r="C9" s="78"/>
      <c r="D9" s="78"/>
      <c r="E9" s="104">
        <v>0.107</v>
      </c>
      <c r="F9" s="105">
        <f>IF($J$7="",E9,"")</f>
        <v>0.107</v>
      </c>
      <c r="G9" s="79" t="s">
        <v>31</v>
      </c>
      <c r="H9" s="80"/>
      <c r="I9" s="147">
        <v>2.5</v>
      </c>
      <c r="J9" s="81" t="s">
        <v>1</v>
      </c>
      <c r="L9" s="14"/>
      <c r="M9" s="98">
        <f>IF($J$7="",1+F9,1)</f>
        <v>1.107</v>
      </c>
      <c r="N9"/>
      <c r="O9"/>
      <c r="S9"/>
    </row>
    <row r="10" spans="2:22" ht="19.5" customHeight="1" x14ac:dyDescent="0.3">
      <c r="B10" s="90" t="s">
        <v>23</v>
      </c>
      <c r="C10" s="91"/>
      <c r="D10" s="91"/>
      <c r="E10" s="100">
        <v>0.19</v>
      </c>
      <c r="F10" s="106">
        <f>IF($J$7="",E10,"")</f>
        <v>0.19</v>
      </c>
      <c r="G10" s="92" t="s">
        <v>22</v>
      </c>
      <c r="H10" s="93"/>
      <c r="I10" s="95">
        <v>40</v>
      </c>
      <c r="J10" s="94" t="s">
        <v>1</v>
      </c>
      <c r="L10" s="14"/>
      <c r="M10" s="109">
        <f>IF($J$7="",1+F10,1)</f>
        <v>1.19</v>
      </c>
      <c r="N10"/>
      <c r="O10"/>
      <c r="S10" s="142" t="s">
        <v>168</v>
      </c>
    </row>
    <row r="11" spans="2:22" ht="19.5" customHeight="1" thickBot="1" x14ac:dyDescent="0.35">
      <c r="B11" s="82" t="s">
        <v>152</v>
      </c>
      <c r="C11" s="83"/>
      <c r="D11" s="83"/>
      <c r="E11" s="101">
        <v>7.0000000000000007E-2</v>
      </c>
      <c r="F11" s="102">
        <f>IF($J$7="",E11,"")</f>
        <v>7.0000000000000007E-2</v>
      </c>
      <c r="G11" s="85" t="s">
        <v>2</v>
      </c>
      <c r="H11" s="86"/>
      <c r="I11" s="33">
        <v>16</v>
      </c>
      <c r="J11" s="84" t="s">
        <v>13</v>
      </c>
      <c r="L11" s="14"/>
      <c r="M11" s="99">
        <f>IF($J$7="",1+F11,1)</f>
        <v>1.07</v>
      </c>
      <c r="N11"/>
      <c r="O11"/>
    </row>
    <row r="12" spans="2:22" s="137" customFormat="1" ht="12.9" customHeight="1" thickBot="1" x14ac:dyDescent="0.35">
      <c r="B12" s="134"/>
      <c r="C12" s="134"/>
      <c r="D12" s="134"/>
      <c r="E12" s="124"/>
      <c r="F12" s="124"/>
      <c r="G12" s="135"/>
      <c r="H12" s="135"/>
      <c r="I12"/>
      <c r="J12"/>
      <c r="K12" s="125"/>
      <c r="L12" s="23"/>
      <c r="M12" s="136"/>
      <c r="N12" s="136"/>
      <c r="O12" s="136"/>
      <c r="S12" s="136"/>
    </row>
    <row r="13" spans="2:22" ht="17.399999999999999" x14ac:dyDescent="0.3">
      <c r="B13" s="309" t="s">
        <v>166</v>
      </c>
      <c r="C13" s="310"/>
      <c r="D13" s="310"/>
      <c r="E13" s="312" t="s">
        <v>167</v>
      </c>
      <c r="F13" s="310"/>
      <c r="G13" s="310"/>
      <c r="H13" s="311"/>
      <c r="I13" s="461" t="s">
        <v>198</v>
      </c>
      <c r="J13" s="462"/>
      <c r="K13" s="125"/>
      <c r="L13" s="14"/>
      <c r="M13"/>
      <c r="N13"/>
      <c r="O13"/>
      <c r="S13" s="256" t="s">
        <v>132</v>
      </c>
    </row>
    <row r="14" spans="2:22" ht="15" x14ac:dyDescent="0.25">
      <c r="B14" s="153" t="s">
        <v>34</v>
      </c>
      <c r="C14" s="193"/>
      <c r="D14" s="180" t="s">
        <v>33</v>
      </c>
      <c r="E14" s="156">
        <v>3.25</v>
      </c>
      <c r="F14" s="132" t="s">
        <v>163</v>
      </c>
      <c r="G14" s="240"/>
      <c r="H14" s="180"/>
      <c r="I14" s="306" t="s">
        <v>33</v>
      </c>
      <c r="J14" s="138">
        <f>41.3*0.5/4</f>
        <v>5.1624999999999996</v>
      </c>
      <c r="K14" s="125"/>
      <c r="M14"/>
      <c r="N14"/>
      <c r="O14"/>
      <c r="Q14"/>
      <c r="S14" s="123" t="s">
        <v>79</v>
      </c>
    </row>
    <row r="15" spans="2:22" ht="16.2" x14ac:dyDescent="0.35">
      <c r="B15" s="154" t="s">
        <v>63</v>
      </c>
      <c r="C15" s="131"/>
      <c r="D15" s="180" t="s">
        <v>164</v>
      </c>
      <c r="E15" s="157">
        <v>1.27</v>
      </c>
      <c r="F15" s="131" t="s">
        <v>188</v>
      </c>
      <c r="G15" s="240"/>
      <c r="H15" s="180"/>
      <c r="I15" s="307" t="s">
        <v>164</v>
      </c>
      <c r="J15" s="139">
        <f>20.8/4</f>
        <v>5.2</v>
      </c>
      <c r="K15" s="125"/>
      <c r="M15"/>
      <c r="N15"/>
      <c r="O15"/>
      <c r="S15" s="123" t="s">
        <v>190</v>
      </c>
    </row>
    <row r="16" spans="2:22" ht="16.8" thickBot="1" x14ac:dyDescent="0.4">
      <c r="B16" s="174" t="s">
        <v>64</v>
      </c>
      <c r="C16" s="194"/>
      <c r="D16" s="305" t="s">
        <v>165</v>
      </c>
      <c r="E16" s="158">
        <v>1.1499999999999999</v>
      </c>
      <c r="F16" s="194" t="s">
        <v>68</v>
      </c>
      <c r="G16" s="241"/>
      <c r="H16" s="305"/>
      <c r="I16" s="308" t="s">
        <v>165</v>
      </c>
      <c r="J16" s="141">
        <f>17/4.7*4</f>
        <v>14.468085106382977</v>
      </c>
      <c r="K16"/>
      <c r="L16" s="10"/>
      <c r="M16"/>
      <c r="N16"/>
      <c r="O16"/>
      <c r="S16" s="121"/>
    </row>
    <row r="17" spans="2:31" s="130" customFormat="1" ht="5.4" customHeight="1" x14ac:dyDescent="0.25">
      <c r="B17" s="126"/>
      <c r="C17" s="126"/>
      <c r="D17" s="127"/>
      <c r="E17" s="127"/>
      <c r="F17" s="181"/>
      <c r="G17" s="126"/>
      <c r="H17" s="126"/>
      <c r="I17" s="126"/>
      <c r="J17" s="126"/>
      <c r="K17" s="128"/>
      <c r="L17" s="129"/>
      <c r="M17" s="128"/>
      <c r="N17" s="128"/>
      <c r="O17" s="128"/>
      <c r="S17" s="128"/>
    </row>
    <row r="18" spans="2:31" ht="12.3" customHeight="1" thickBot="1" x14ac:dyDescent="0.35">
      <c r="B18" s="34"/>
      <c r="C18" s="34"/>
      <c r="D18" s="32"/>
      <c r="E18" s="24"/>
      <c r="F18" s="24"/>
      <c r="G18" s="24"/>
      <c r="H18" s="24"/>
      <c r="I18" s="24"/>
      <c r="J18" s="24"/>
      <c r="K18"/>
      <c r="L18" s="14"/>
      <c r="M18" s="7"/>
      <c r="N18" s="8"/>
      <c r="O18" s="9"/>
      <c r="P18"/>
      <c r="Q18"/>
      <c r="R18"/>
      <c r="S18"/>
      <c r="T18"/>
      <c r="U18"/>
    </row>
    <row r="19" spans="2:31" ht="30.75" customHeight="1" thickBot="1" x14ac:dyDescent="0.3">
      <c r="B19" s="466" t="s">
        <v>117</v>
      </c>
      <c r="C19" s="467"/>
      <c r="D19" s="467"/>
      <c r="E19" s="467"/>
      <c r="F19" s="467"/>
      <c r="G19" s="467"/>
      <c r="H19" s="467"/>
      <c r="I19" s="467"/>
      <c r="J19" s="468"/>
      <c r="K19" s="10"/>
      <c r="L19" s="255"/>
      <c r="M19" s="137"/>
      <c r="N19" s="137"/>
      <c r="O19" s="137"/>
      <c r="P19" s="137"/>
      <c r="Q19" s="137"/>
      <c r="R19"/>
      <c r="T19"/>
      <c r="U19"/>
    </row>
    <row r="20" spans="2:31" ht="20.25" customHeight="1" x14ac:dyDescent="0.25">
      <c r="B20" s="428" t="s">
        <v>121</v>
      </c>
      <c r="C20" s="198"/>
      <c r="D20" s="198"/>
      <c r="E20" s="431">
        <f>C28*E28/10</f>
        <v>319.2</v>
      </c>
      <c r="F20" s="236" t="s">
        <v>169</v>
      </c>
      <c r="G20" s="477" t="s">
        <v>175</v>
      </c>
      <c r="H20" s="478"/>
      <c r="I20" s="313">
        <v>4</v>
      </c>
      <c r="J20" s="199" t="s">
        <v>169</v>
      </c>
      <c r="L20" s="10"/>
      <c r="M20"/>
      <c r="N20"/>
      <c r="O20"/>
      <c r="P20"/>
      <c r="Q20"/>
      <c r="R20"/>
      <c r="S20" s="122" t="s">
        <v>192</v>
      </c>
      <c r="T20"/>
      <c r="U20"/>
    </row>
    <row r="21" spans="2:31" ht="20.25" customHeight="1" x14ac:dyDescent="0.25">
      <c r="B21" s="201" t="s">
        <v>182</v>
      </c>
      <c r="C21" s="202"/>
      <c r="D21" s="202"/>
      <c r="E21" s="203">
        <v>2.8</v>
      </c>
      <c r="F21" s="237" t="s">
        <v>13</v>
      </c>
      <c r="G21" s="469" t="s">
        <v>174</v>
      </c>
      <c r="H21" s="470"/>
      <c r="I21" s="224">
        <v>110</v>
      </c>
      <c r="J21" s="200" t="s">
        <v>170</v>
      </c>
      <c r="N21"/>
      <c r="O21"/>
      <c r="P21" s="60"/>
      <c r="R21" s="60"/>
      <c r="S21" s="122" t="s">
        <v>193</v>
      </c>
      <c r="T21"/>
      <c r="U21"/>
    </row>
    <row r="22" spans="2:31" ht="20.25" customHeight="1" x14ac:dyDescent="0.25">
      <c r="B22" s="201" t="s">
        <v>52</v>
      </c>
      <c r="C22" s="202"/>
      <c r="D22" s="202"/>
      <c r="E22" s="204"/>
      <c r="F22" s="47" t="s">
        <v>170</v>
      </c>
      <c r="G22" s="482" t="s">
        <v>89</v>
      </c>
      <c r="H22" s="483"/>
      <c r="I22" s="224">
        <v>3.5</v>
      </c>
      <c r="J22" s="200" t="s">
        <v>1</v>
      </c>
      <c r="L22" s="12"/>
      <c r="M22" s="4"/>
      <c r="N22" s="4"/>
      <c r="O22" s="4"/>
      <c r="P22" s="57"/>
      <c r="R22" s="61"/>
      <c r="S22" s="122" t="s">
        <v>151</v>
      </c>
      <c r="T22"/>
      <c r="U22"/>
    </row>
    <row r="23" spans="2:31" ht="20.25" customHeight="1" x14ac:dyDescent="0.25">
      <c r="B23" s="206"/>
      <c r="C23" s="207"/>
      <c r="D23" s="207"/>
      <c r="E23" s="215"/>
      <c r="F23" s="48"/>
      <c r="G23" s="217" t="s">
        <v>87</v>
      </c>
      <c r="H23" s="210"/>
      <c r="I23" s="430">
        <f>1.86/4.7</f>
        <v>0.39574468085106385</v>
      </c>
      <c r="J23" s="200" t="s">
        <v>171</v>
      </c>
      <c r="K23" s="17"/>
      <c r="L23" s="55"/>
      <c r="M23" s="31"/>
      <c r="N23" s="4"/>
      <c r="O23" s="4"/>
      <c r="P23" s="58"/>
      <c r="R23" s="61"/>
      <c r="S23" s="123" t="s">
        <v>118</v>
      </c>
      <c r="T23" s="5"/>
      <c r="U23" s="3"/>
      <c r="V23" s="3"/>
      <c r="W23" s="3"/>
      <c r="X23" s="3"/>
      <c r="Y23" s="3"/>
      <c r="AA23" s="249">
        <v>0.8</v>
      </c>
      <c r="AB23" s="1" t="s">
        <v>119</v>
      </c>
    </row>
    <row r="24" spans="2:31" ht="20.25" customHeight="1" x14ac:dyDescent="0.25">
      <c r="B24" s="201" t="s">
        <v>70</v>
      </c>
      <c r="C24" s="202"/>
      <c r="D24" s="202"/>
      <c r="E24" s="228">
        <v>65</v>
      </c>
      <c r="F24" s="47" t="s">
        <v>12</v>
      </c>
      <c r="G24" s="206" t="s">
        <v>189</v>
      </c>
      <c r="H24" s="211"/>
      <c r="I24" s="251">
        <f>$E$14*$J$14+$E$15*$J$15+$E$16*$J$16</f>
        <v>40.020422872340419</v>
      </c>
      <c r="J24" s="208" t="s">
        <v>13</v>
      </c>
      <c r="K24" s="17"/>
      <c r="L24" s="55"/>
      <c r="M24" s="4"/>
      <c r="N24" s="4"/>
      <c r="O24" s="4"/>
      <c r="P24" s="58"/>
      <c r="R24" s="61"/>
      <c r="S24" s="123" t="s">
        <v>194</v>
      </c>
      <c r="T24" s="5"/>
      <c r="U24" s="3"/>
      <c r="V24" s="3"/>
      <c r="W24" s="3"/>
      <c r="X24" s="3"/>
      <c r="Y24" s="3"/>
    </row>
    <row r="25" spans="2:31" ht="20.25" customHeight="1" x14ac:dyDescent="0.25">
      <c r="B25" s="252" t="s">
        <v>122</v>
      </c>
      <c r="C25" s="302">
        <v>0.2</v>
      </c>
      <c r="D25" s="195" t="s">
        <v>101</v>
      </c>
      <c r="E25" s="228">
        <v>38</v>
      </c>
      <c r="F25" s="240" t="s">
        <v>12</v>
      </c>
      <c r="G25" s="242" t="s">
        <v>120</v>
      </c>
      <c r="H25" s="212"/>
      <c r="I25" s="213">
        <f>SUM(I27:I34)</f>
        <v>67.711353831185747</v>
      </c>
      <c r="J25" s="200" t="s">
        <v>170</v>
      </c>
      <c r="K25" s="17"/>
      <c r="L25" s="55"/>
      <c r="M25" s="4"/>
      <c r="N25" s="4"/>
      <c r="O25" s="4"/>
      <c r="P25" s="58"/>
      <c r="R25" s="61"/>
      <c r="S25" s="123" t="s">
        <v>185</v>
      </c>
      <c r="T25" s="5"/>
      <c r="U25" s="3"/>
      <c r="V25" s="3"/>
      <c r="W25" s="3"/>
      <c r="X25" s="3"/>
      <c r="Y25" s="3"/>
    </row>
    <row r="26" spans="2:31" ht="20.25" customHeight="1" x14ac:dyDescent="0.25">
      <c r="B26" s="192" t="s">
        <v>124</v>
      </c>
      <c r="C26" s="301">
        <v>0.55000000000000004</v>
      </c>
      <c r="D26" s="235" t="s">
        <v>125</v>
      </c>
      <c r="E26" s="228">
        <v>70</v>
      </c>
      <c r="F26" s="253" t="s">
        <v>12</v>
      </c>
      <c r="G26" s="217" t="s">
        <v>4</v>
      </c>
      <c r="H26" s="133" t="s">
        <v>35</v>
      </c>
      <c r="I26" s="110"/>
      <c r="J26" s="214"/>
      <c r="K26" s="17"/>
      <c r="L26" s="55"/>
      <c r="M26" s="4"/>
      <c r="N26" s="4"/>
      <c r="O26" s="4"/>
      <c r="P26" s="58"/>
      <c r="R26" s="61"/>
      <c r="S26" s="123"/>
      <c r="T26" s="5"/>
      <c r="U26" s="3"/>
      <c r="V26" s="3"/>
      <c r="W26" s="3"/>
      <c r="X26" s="3"/>
      <c r="Y26" s="3"/>
    </row>
    <row r="27" spans="2:31" ht="20.25" customHeight="1" x14ac:dyDescent="0.25">
      <c r="B27" s="219" t="s">
        <v>177</v>
      </c>
      <c r="C27" s="220"/>
      <c r="D27" s="235"/>
      <c r="E27" s="250">
        <v>2.5</v>
      </c>
      <c r="F27" s="238" t="s">
        <v>170</v>
      </c>
      <c r="G27" s="429" t="s">
        <v>54</v>
      </c>
      <c r="H27" s="250">
        <v>10</v>
      </c>
      <c r="I27" s="216">
        <f>IF($J$7="",H27,H27/M27)</f>
        <v>10</v>
      </c>
      <c r="J27" s="200" t="s">
        <v>170</v>
      </c>
      <c r="L27" s="55"/>
      <c r="M27" s="103">
        <f>1+$E$10</f>
        <v>1.19</v>
      </c>
      <c r="N27" s="4"/>
      <c r="O27" s="4"/>
      <c r="P27" s="58"/>
      <c r="R27" s="61"/>
      <c r="S27" s="123" t="s">
        <v>145</v>
      </c>
      <c r="T27" s="5"/>
      <c r="U27" s="3"/>
      <c r="V27" s="3"/>
      <c r="W27" s="3"/>
      <c r="X27" s="3"/>
      <c r="Y27" s="3"/>
    </row>
    <row r="28" spans="2:31" ht="20.25" customHeight="1" x14ac:dyDescent="0.25">
      <c r="B28" s="207" t="s">
        <v>191</v>
      </c>
      <c r="C28" s="438">
        <v>84</v>
      </c>
      <c r="D28" s="207" t="s">
        <v>8</v>
      </c>
      <c r="E28" s="215">
        <v>38</v>
      </c>
      <c r="F28" s="239" t="s">
        <v>86</v>
      </c>
      <c r="G28" s="429" t="s">
        <v>55</v>
      </c>
      <c r="H28" s="250">
        <v>3</v>
      </c>
      <c r="I28" s="216">
        <f>IF($J$7="",H28,H28/M29)</f>
        <v>3</v>
      </c>
      <c r="J28" s="200" t="s">
        <v>170</v>
      </c>
      <c r="L28" s="55"/>
      <c r="M28" s="103">
        <f>1+$E$9</f>
        <v>1.107</v>
      </c>
      <c r="N28" s="4"/>
      <c r="O28" s="4"/>
      <c r="P28" s="58"/>
      <c r="R28" s="61"/>
      <c r="S28" s="123" t="s">
        <v>184</v>
      </c>
      <c r="T28" s="5"/>
      <c r="U28" s="3"/>
      <c r="V28" s="3"/>
      <c r="W28" s="3"/>
      <c r="X28" s="3"/>
      <c r="Y28" s="3"/>
    </row>
    <row r="29" spans="2:31" ht="19.649999999999999" customHeight="1" x14ac:dyDescent="0.25">
      <c r="B29" s="217" t="s">
        <v>9</v>
      </c>
      <c r="C29" s="210"/>
      <c r="D29" s="210"/>
      <c r="E29" s="218">
        <v>7</v>
      </c>
      <c r="F29" s="47" t="s">
        <v>10</v>
      </c>
      <c r="G29" s="429" t="s">
        <v>56</v>
      </c>
      <c r="H29" s="250">
        <v>15</v>
      </c>
      <c r="I29" s="216">
        <f>IF($J$7="",H29,H29/M30)</f>
        <v>15</v>
      </c>
      <c r="J29" s="200" t="s">
        <v>170</v>
      </c>
      <c r="L29" s="55"/>
      <c r="M29" s="103">
        <f t="shared" ref="M29:M34" si="0">1+$E$10</f>
        <v>1.19</v>
      </c>
      <c r="N29" s="4"/>
      <c r="O29" s="4"/>
      <c r="P29" s="58"/>
      <c r="R29" s="61"/>
      <c r="S29" s="123" t="s">
        <v>146</v>
      </c>
      <c r="T29" s="5"/>
      <c r="U29" s="3"/>
      <c r="V29" s="3"/>
      <c r="W29" s="3"/>
      <c r="X29" s="3"/>
      <c r="Y29" s="3"/>
      <c r="AE29" s="314" t="s">
        <v>203</v>
      </c>
    </row>
    <row r="30" spans="2:31" ht="20.25" customHeight="1" x14ac:dyDescent="0.25">
      <c r="B30" s="206" t="s">
        <v>11</v>
      </c>
      <c r="C30" s="207"/>
      <c r="D30" s="207"/>
      <c r="E30" s="209">
        <f>365/(C28+E29)</f>
        <v>4.0109890109890109</v>
      </c>
      <c r="F30" s="48"/>
      <c r="G30" s="429" t="s">
        <v>147</v>
      </c>
      <c r="H30" s="250">
        <v>20</v>
      </c>
      <c r="I30" s="216">
        <f>IF($J$7="",H30,H30/M31)</f>
        <v>20</v>
      </c>
      <c r="J30" s="200" t="s">
        <v>170</v>
      </c>
      <c r="L30" s="12"/>
      <c r="M30" s="103">
        <f t="shared" si="0"/>
        <v>1.19</v>
      </c>
      <c r="N30" s="31"/>
      <c r="O30" s="31"/>
      <c r="P30" s="152"/>
      <c r="R30" s="61"/>
      <c r="S30" s="123" t="s">
        <v>195</v>
      </c>
      <c r="T30" s="5"/>
      <c r="U30" s="3"/>
      <c r="V30" s="3"/>
      <c r="W30" s="3"/>
      <c r="X30" s="3"/>
      <c r="Y30" s="3"/>
    </row>
    <row r="31" spans="2:31" ht="20.25" customHeight="1" x14ac:dyDescent="0.25">
      <c r="B31" s="219" t="s">
        <v>126</v>
      </c>
      <c r="C31" s="220"/>
      <c r="D31" s="220" t="s">
        <v>202</v>
      </c>
      <c r="E31" s="222">
        <f>17000/4.8</f>
        <v>3541.666666666667</v>
      </c>
      <c r="F31" s="238" t="s">
        <v>172</v>
      </c>
      <c r="G31" s="243" t="s">
        <v>67</v>
      </c>
      <c r="H31" s="250">
        <v>8</v>
      </c>
      <c r="I31" s="216">
        <f>IF($J$7="",H31,H31/M33)</f>
        <v>8</v>
      </c>
      <c r="J31" s="200" t="s">
        <v>170</v>
      </c>
      <c r="M31" s="103">
        <f t="shared" si="0"/>
        <v>1.19</v>
      </c>
      <c r="N31" s="4"/>
      <c r="O31" s="4"/>
      <c r="P31" s="58"/>
      <c r="R31" s="61"/>
      <c r="S31" s="433" t="s">
        <v>204</v>
      </c>
      <c r="T31" s="5"/>
      <c r="U31" s="3"/>
      <c r="V31" s="3"/>
      <c r="W31" s="3"/>
      <c r="X31" s="3"/>
      <c r="Y31" s="3"/>
      <c r="AB31" s="17">
        <f>17000/520</f>
        <v>32.692307692307693</v>
      </c>
    </row>
    <row r="32" spans="2:31" ht="20.25" customHeight="1" x14ac:dyDescent="0.25">
      <c r="B32" s="219" t="s">
        <v>127</v>
      </c>
      <c r="C32" s="220"/>
      <c r="D32" s="221"/>
      <c r="E32" s="223">
        <f>IF($F$7="",E31*$M$10-E31*$M$10*$I$10%,E31*$M$10)</f>
        <v>2528.75</v>
      </c>
      <c r="F32" s="238" t="s">
        <v>172</v>
      </c>
      <c r="G32" s="243" t="s">
        <v>106</v>
      </c>
      <c r="H32" s="250">
        <v>2</v>
      </c>
      <c r="I32" s="216">
        <f>IF($J$7="",H32,H32/M34)</f>
        <v>2</v>
      </c>
      <c r="J32" s="200" t="s">
        <v>170</v>
      </c>
      <c r="M32" s="103">
        <f t="shared" si="0"/>
        <v>1.19</v>
      </c>
      <c r="S32" s="123" t="s">
        <v>149</v>
      </c>
      <c r="U32" s="3"/>
      <c r="V32" s="3"/>
      <c r="W32" s="3"/>
      <c r="X32" s="3"/>
      <c r="Y32" s="3"/>
    </row>
    <row r="33" spans="2:25" ht="20.25" customHeight="1" x14ac:dyDescent="0.25">
      <c r="B33" s="217" t="s">
        <v>128</v>
      </c>
      <c r="C33" s="210"/>
      <c r="D33" s="210"/>
      <c r="E33" s="224">
        <v>12</v>
      </c>
      <c r="F33" s="47" t="s">
        <v>5</v>
      </c>
      <c r="G33" s="429" t="s">
        <v>57</v>
      </c>
      <c r="H33" s="250">
        <v>8</v>
      </c>
      <c r="I33" s="216">
        <f>IF($J$7="",H33,H33/M34)</f>
        <v>8</v>
      </c>
      <c r="J33" s="200" t="s">
        <v>170</v>
      </c>
      <c r="L33" s="12"/>
      <c r="M33" s="103">
        <f t="shared" si="0"/>
        <v>1.19</v>
      </c>
      <c r="N33" s="4"/>
      <c r="O33" s="4"/>
      <c r="P33" s="57"/>
      <c r="R33" s="61"/>
      <c r="S33" s="123" t="s">
        <v>148</v>
      </c>
      <c r="T33" s="5"/>
      <c r="U33" s="3"/>
      <c r="V33" s="3"/>
      <c r="W33" s="3"/>
      <c r="X33" s="3"/>
      <c r="Y33" s="3"/>
    </row>
    <row r="34" spans="2:25" ht="20.25" customHeight="1" x14ac:dyDescent="0.25">
      <c r="B34" s="217" t="s">
        <v>129</v>
      </c>
      <c r="C34" s="210"/>
      <c r="D34" s="210"/>
      <c r="E34" s="224">
        <v>2</v>
      </c>
      <c r="F34" s="47" t="s">
        <v>1</v>
      </c>
      <c r="G34" s="244" t="s">
        <v>66</v>
      </c>
      <c r="H34" s="225">
        <v>1.4999999999999999E-2</v>
      </c>
      <c r="I34" s="226">
        <f>(H49+0.6*(I27+I28+I29+I30+I31+I33+H50))/E30*H34</f>
        <v>1.7113538311857532</v>
      </c>
      <c r="J34" s="234" t="s">
        <v>170</v>
      </c>
      <c r="L34" s="56"/>
      <c r="M34" s="103">
        <f t="shared" si="0"/>
        <v>1.19</v>
      </c>
      <c r="N34" s="4"/>
      <c r="O34" s="4"/>
      <c r="P34" s="58"/>
      <c r="R34" s="61"/>
      <c r="S34" s="123"/>
      <c r="T34" s="5"/>
      <c r="U34" s="3"/>
      <c r="V34" s="3"/>
      <c r="W34" s="3"/>
      <c r="X34" s="3"/>
      <c r="Y34" s="3"/>
    </row>
    <row r="35" spans="2:25" ht="20.25" customHeight="1" x14ac:dyDescent="0.25">
      <c r="B35" s="252" t="s">
        <v>96</v>
      </c>
      <c r="C35" s="227"/>
      <c r="D35" s="13"/>
      <c r="E35" s="228">
        <v>300</v>
      </c>
      <c r="F35" s="240" t="s">
        <v>97</v>
      </c>
      <c r="G35" s="201" t="s">
        <v>176</v>
      </c>
      <c r="H35" s="250">
        <v>60</v>
      </c>
      <c r="I35" s="216">
        <f>IF($J$7="",H35,H35/M36)</f>
        <v>60</v>
      </c>
      <c r="J35" s="200" t="s">
        <v>172</v>
      </c>
      <c r="L35" s="62"/>
      <c r="M35" s="103"/>
      <c r="N35" s="63"/>
      <c r="O35" s="63"/>
      <c r="P35" s="64"/>
      <c r="R35" s="61"/>
      <c r="S35" s="123" t="s">
        <v>186</v>
      </c>
      <c r="T35" s="5"/>
      <c r="U35" s="3"/>
      <c r="V35" s="3"/>
      <c r="W35" s="3"/>
      <c r="X35" s="3"/>
      <c r="Y35" s="3"/>
    </row>
    <row r="36" spans="2:25" ht="20.25" customHeight="1" thickBot="1" x14ac:dyDescent="0.3">
      <c r="B36" s="254" t="s">
        <v>144</v>
      </c>
      <c r="C36" s="229"/>
      <c r="D36" s="140"/>
      <c r="E36" s="279">
        <v>400</v>
      </c>
      <c r="F36" s="241" t="s">
        <v>98</v>
      </c>
      <c r="G36" s="254" t="s">
        <v>143</v>
      </c>
      <c r="H36" s="230"/>
      <c r="I36" s="231">
        <v>30</v>
      </c>
      <c r="J36" s="232" t="s">
        <v>173</v>
      </c>
      <c r="M36" s="103">
        <f>1+$E$10</f>
        <v>1.19</v>
      </c>
      <c r="R36" s="61"/>
      <c r="S36" s="123" t="s">
        <v>183</v>
      </c>
      <c r="T36" s="5"/>
      <c r="U36" s="3"/>
      <c r="V36" s="3"/>
      <c r="W36" s="3"/>
      <c r="X36" s="3"/>
      <c r="Y36" s="3"/>
    </row>
    <row r="37" spans="2:25" ht="20.25" customHeight="1" x14ac:dyDescent="0.25">
      <c r="R37" s="65"/>
      <c r="S37" s="123"/>
      <c r="T37" s="5"/>
      <c r="U37" s="3"/>
      <c r="V37" s="3"/>
      <c r="W37" s="3"/>
      <c r="X37" s="3"/>
      <c r="Y37" s="3"/>
    </row>
    <row r="38" spans="2:25" ht="11.25" customHeight="1" thickBot="1" x14ac:dyDescent="0.3">
      <c r="B38" s="25"/>
      <c r="C38" s="25"/>
      <c r="I38" s="25"/>
      <c r="J38" s="25"/>
      <c r="K38" s="17"/>
      <c r="R38" s="5"/>
      <c r="S38" s="121"/>
      <c r="T38" s="5"/>
      <c r="U38" s="3"/>
      <c r="V38" s="3"/>
      <c r="W38" s="3"/>
      <c r="X38" s="3"/>
      <c r="Y38" s="3"/>
    </row>
    <row r="39" spans="2:25" ht="25.2" thickBot="1" x14ac:dyDescent="0.3">
      <c r="B39" s="466" t="s">
        <v>116</v>
      </c>
      <c r="C39" s="467"/>
      <c r="D39" s="467"/>
      <c r="E39" s="467"/>
      <c r="F39" s="467"/>
      <c r="G39" s="467"/>
      <c r="H39" s="467"/>
      <c r="I39" s="467"/>
      <c r="J39" s="468"/>
      <c r="M39" s="4"/>
      <c r="N39" s="4"/>
      <c r="O39" s="4"/>
      <c r="P39" s="58"/>
      <c r="Q39" s="4"/>
      <c r="R39" s="5"/>
      <c r="S39" s="121"/>
      <c r="T39" s="5"/>
      <c r="U39" s="3">
        <f>4000*0.6</f>
        <v>2400</v>
      </c>
      <c r="V39" s="3"/>
      <c r="W39" s="3"/>
      <c r="X39" s="3"/>
      <c r="Y39" s="3"/>
    </row>
    <row r="40" spans="2:25" s="31" customFormat="1" ht="24" customHeight="1" x14ac:dyDescent="0.3">
      <c r="B40" s="46" t="s">
        <v>150</v>
      </c>
      <c r="C40" s="167" t="str">
        <f>IF($E$22="","ohne Prämien","mit Prämien")</f>
        <v>ohne Prämien</v>
      </c>
      <c r="D40" s="320"/>
      <c r="E40" s="169" t="str">
        <f>IF($E$22=0,"",CONCATENATE($E$22," €/Tier"))</f>
        <v/>
      </c>
      <c r="F40" s="321"/>
      <c r="G40" s="484" t="s">
        <v>65</v>
      </c>
      <c r="H40" s="484"/>
      <c r="I40" s="484"/>
      <c r="J40" s="485"/>
      <c r="K40" s="17"/>
      <c r="L40" s="56"/>
      <c r="M40" s="4"/>
      <c r="N40" s="4"/>
      <c r="O40" s="4"/>
      <c r="P40" s="58"/>
      <c r="Q40" s="4"/>
      <c r="R40" s="5"/>
      <c r="S40" s="121"/>
      <c r="T40" s="5"/>
      <c r="U40" s="35"/>
      <c r="V40" s="35"/>
      <c r="W40" s="35"/>
      <c r="X40" s="35"/>
      <c r="Y40" s="35"/>
    </row>
    <row r="41" spans="2:25" s="31" customFormat="1" ht="20.25" customHeight="1" thickBot="1" x14ac:dyDescent="0.35">
      <c r="B41" s="170" t="str">
        <f>IF($J$7="",$I$6,$I$7)</f>
        <v xml:space="preserve">Pauschalierung </v>
      </c>
      <c r="C41" s="168" t="str">
        <f>IF(F7="","mit Inv.förderung","ohne Inv.förderung")</f>
        <v>mit Inv.förderung</v>
      </c>
      <c r="D41" s="320"/>
      <c r="E41" s="120">
        <f>IF($F$6=""," ",$I$10/100)</f>
        <v>0.4</v>
      </c>
      <c r="F41" s="322"/>
      <c r="G41" s="323">
        <v>3</v>
      </c>
      <c r="H41" s="324">
        <v>2.5</v>
      </c>
      <c r="I41" s="490">
        <v>2.25</v>
      </c>
      <c r="J41" s="491"/>
      <c r="K41" s="36"/>
      <c r="L41" s="111"/>
      <c r="M41" s="112"/>
      <c r="N41" s="112"/>
      <c r="O41" s="112"/>
      <c r="P41" s="59"/>
      <c r="Q41" s="37"/>
      <c r="R41" s="5"/>
      <c r="S41" s="123" t="s">
        <v>197</v>
      </c>
      <c r="T41" s="5"/>
      <c r="U41" s="35"/>
      <c r="V41" s="35"/>
      <c r="W41" s="35"/>
      <c r="X41" s="35"/>
      <c r="Y41" s="35"/>
    </row>
    <row r="42" spans="2:25" ht="20.25" customHeight="1" x14ac:dyDescent="0.25">
      <c r="B42" s="325" t="s">
        <v>107</v>
      </c>
      <c r="C42" s="326"/>
      <c r="D42" s="327">
        <f>E20*(1-I22%)</f>
        <v>308.02799999999996</v>
      </c>
      <c r="E42" s="328">
        <f>E21*M9</f>
        <v>3.0995999999999997</v>
      </c>
      <c r="F42" s="329" t="s">
        <v>13</v>
      </c>
      <c r="G42" s="330">
        <f>H42</f>
        <v>954.76358879999987</v>
      </c>
      <c r="H42" s="330">
        <f>($E$20*(1-$I$22%)*($E$21)*$M$9+E22)</f>
        <v>954.76358879999987</v>
      </c>
      <c r="I42" s="331">
        <f>H42</f>
        <v>954.76358879999987</v>
      </c>
      <c r="J42" s="332"/>
      <c r="K42" s="471" t="s">
        <v>104</v>
      </c>
      <c r="L42" s="111"/>
      <c r="M42" s="112"/>
      <c r="N42" s="112"/>
      <c r="O42" s="112"/>
      <c r="P42" s="58"/>
      <c r="Q42" s="4"/>
      <c r="R42" s="5"/>
      <c r="S42" s="121"/>
      <c r="T42" s="5"/>
      <c r="U42" s="3"/>
      <c r="V42" s="3"/>
      <c r="W42" s="3"/>
      <c r="X42" s="3"/>
      <c r="Y42" s="3"/>
    </row>
    <row r="43" spans="2:25" ht="20.25" customHeight="1" x14ac:dyDescent="0.25">
      <c r="B43" s="333" t="s">
        <v>6</v>
      </c>
      <c r="C43" s="334"/>
      <c r="D43" s="334"/>
      <c r="E43" s="335"/>
      <c r="F43" s="275" t="s">
        <v>13</v>
      </c>
      <c r="G43" s="336">
        <f>$I$24*$M$10</f>
        <v>47.624303218085096</v>
      </c>
      <c r="H43" s="336">
        <f>$I$24*$M$10</f>
        <v>47.624303218085096</v>
      </c>
      <c r="I43" s="337">
        <f>$I$24*$M$10</f>
        <v>47.624303218085096</v>
      </c>
      <c r="J43" s="338"/>
      <c r="K43" s="471"/>
      <c r="L43" s="17"/>
      <c r="M43" s="4"/>
      <c r="N43" s="6"/>
      <c r="O43" s="4"/>
      <c r="P43" s="12"/>
      <c r="Q43" s="151"/>
      <c r="R43" s="5"/>
      <c r="S43" s="272" t="s">
        <v>133</v>
      </c>
      <c r="T43" s="258"/>
      <c r="U43" s="259"/>
      <c r="V43" s="260"/>
      <c r="W43" s="3"/>
      <c r="X43" s="3"/>
      <c r="Y43" s="3"/>
    </row>
    <row r="44" spans="2:25" ht="20.25" customHeight="1" x14ac:dyDescent="0.3">
      <c r="B44" s="421" t="s">
        <v>178</v>
      </c>
      <c r="C44" s="339"/>
      <c r="D44" s="339"/>
      <c r="E44" s="340"/>
      <c r="F44" s="341" t="s">
        <v>13</v>
      </c>
      <c r="G44" s="342">
        <f>G42+G43</f>
        <v>1002.3878920180849</v>
      </c>
      <c r="H44" s="342">
        <f>H42+H43</f>
        <v>1002.3878920180849</v>
      </c>
      <c r="I44" s="343">
        <f>I42+I43</f>
        <v>1002.3878920180849</v>
      </c>
      <c r="J44" s="344"/>
      <c r="K44" s="471"/>
      <c r="L44" s="17"/>
      <c r="M44" s="4"/>
      <c r="N44" s="6"/>
      <c r="O44" s="4"/>
      <c r="P44" s="12"/>
      <c r="Q44" s="151"/>
      <c r="R44" s="5"/>
      <c r="S44" s="265" t="s">
        <v>134</v>
      </c>
      <c r="T44" s="434">
        <f>H49</f>
        <v>117.7</v>
      </c>
      <c r="U44" s="3"/>
      <c r="V44" s="261"/>
      <c r="W44" s="3"/>
      <c r="X44" s="3"/>
      <c r="Y44" s="3"/>
    </row>
    <row r="45" spans="2:25" ht="20.25" customHeight="1" x14ac:dyDescent="0.25">
      <c r="B45" s="333" t="s">
        <v>94</v>
      </c>
      <c r="C45" s="334"/>
      <c r="D45" s="334"/>
      <c r="E45" s="335"/>
      <c r="F45" s="275" t="s">
        <v>3</v>
      </c>
      <c r="G45" s="345">
        <f>$E$20</f>
        <v>319.2</v>
      </c>
      <c r="H45" s="346">
        <f>E20</f>
        <v>319.2</v>
      </c>
      <c r="I45" s="337">
        <f>E20</f>
        <v>319.2</v>
      </c>
      <c r="J45" s="347"/>
      <c r="K45" s="471"/>
      <c r="L45" s="16"/>
      <c r="M45" s="3"/>
      <c r="N45" s="3"/>
      <c r="O45" s="3"/>
      <c r="P45" s="55"/>
      <c r="Q45" s="3"/>
      <c r="R45" s="3"/>
      <c r="S45" s="265" t="s">
        <v>135</v>
      </c>
      <c r="T45" s="434">
        <f>H50</f>
        <v>502.52460120000006</v>
      </c>
      <c r="U45" s="3"/>
      <c r="V45" s="261"/>
      <c r="W45" s="3"/>
      <c r="X45" s="3"/>
      <c r="Y45" s="3"/>
    </row>
    <row r="46" spans="2:25" ht="20.25" customHeight="1" x14ac:dyDescent="0.25">
      <c r="B46" s="333" t="s">
        <v>88</v>
      </c>
      <c r="C46" s="334"/>
      <c r="D46" s="334"/>
      <c r="E46" s="335"/>
      <c r="F46" s="275" t="s">
        <v>3</v>
      </c>
      <c r="G46" s="345">
        <f>G45-G48</f>
        <v>315.2</v>
      </c>
      <c r="H46" s="348">
        <f>H45-H48</f>
        <v>315.2</v>
      </c>
      <c r="I46" s="337">
        <f>I45-I48</f>
        <v>315.2</v>
      </c>
      <c r="J46" s="347"/>
      <c r="K46" s="471"/>
      <c r="P46" s="12"/>
      <c r="S46" s="266" t="s">
        <v>136</v>
      </c>
      <c r="T46" s="434">
        <f>I27+I28</f>
        <v>13</v>
      </c>
      <c r="U46" s="3"/>
      <c r="V46" s="261"/>
    </row>
    <row r="47" spans="2:25" ht="20.25" customHeight="1" x14ac:dyDescent="0.3">
      <c r="B47" s="420" t="s">
        <v>123</v>
      </c>
      <c r="C47" s="349"/>
      <c r="D47" s="349"/>
      <c r="E47" s="350"/>
      <c r="F47" s="351" t="s">
        <v>3</v>
      </c>
      <c r="G47" s="352">
        <f>G46*G41*(1-$I$22%/2)</f>
        <v>929.05199999999991</v>
      </c>
      <c r="H47" s="353">
        <f>H46*H41*(1-$I$22%/2)</f>
        <v>774.21</v>
      </c>
      <c r="I47" s="354">
        <f>I46*I41*(1-$I$22%/2)</f>
        <v>696.78899999999999</v>
      </c>
      <c r="J47" s="355"/>
      <c r="K47" s="471"/>
      <c r="M47" s="314"/>
      <c r="P47" s="56"/>
      <c r="S47" s="267" t="s">
        <v>206</v>
      </c>
      <c r="T47" s="435">
        <f>I29+I30</f>
        <v>35</v>
      </c>
      <c r="U47" s="262"/>
      <c r="V47" s="263"/>
    </row>
    <row r="48" spans="2:25" ht="20.25" customHeight="1" x14ac:dyDescent="0.25">
      <c r="B48" s="356" t="s">
        <v>90</v>
      </c>
      <c r="C48" s="357"/>
      <c r="D48" s="357"/>
      <c r="E48" s="358"/>
      <c r="F48" s="38" t="s">
        <v>3</v>
      </c>
      <c r="G48" s="359">
        <f>$I$20</f>
        <v>4</v>
      </c>
      <c r="H48" s="360">
        <f>$I$20</f>
        <v>4</v>
      </c>
      <c r="I48" s="361">
        <f>$I$20</f>
        <v>4</v>
      </c>
      <c r="J48" s="362"/>
      <c r="K48" s="471"/>
      <c r="S48" s="267" t="s">
        <v>137</v>
      </c>
      <c r="T48" s="435">
        <f>I31</f>
        <v>8</v>
      </c>
      <c r="U48" s="262"/>
      <c r="V48" s="263"/>
    </row>
    <row r="49" spans="2:22" ht="20.25" customHeight="1" x14ac:dyDescent="0.25">
      <c r="B49" s="333" t="s">
        <v>95</v>
      </c>
      <c r="C49" s="334"/>
      <c r="D49" s="334"/>
      <c r="E49" s="335"/>
      <c r="F49" s="275" t="s">
        <v>13</v>
      </c>
      <c r="G49" s="348">
        <f>(I21)*$M$11</f>
        <v>117.7</v>
      </c>
      <c r="H49" s="348">
        <f>(I21)*$M$11</f>
        <v>117.7</v>
      </c>
      <c r="I49" s="337">
        <f>(I21)*$M$11</f>
        <v>117.7</v>
      </c>
      <c r="J49" s="338"/>
      <c r="K49" s="471"/>
      <c r="S49" s="267" t="s">
        <v>140</v>
      </c>
      <c r="T49" s="435">
        <f>I32+I33</f>
        <v>10</v>
      </c>
      <c r="U49" s="262"/>
      <c r="V49" s="263"/>
    </row>
    <row r="50" spans="2:22" ht="20.25" customHeight="1" x14ac:dyDescent="0.25">
      <c r="B50" s="333" t="s">
        <v>102</v>
      </c>
      <c r="C50" s="334"/>
      <c r="D50" s="334"/>
      <c r="E50" s="335"/>
      <c r="F50" s="275" t="s">
        <v>13</v>
      </c>
      <c r="G50" s="345">
        <f>(((G47-$C$26*100)*(1-$C$25)*$E$24/100)+(G47-$C$26*100)*($C$25*$E$25/100)+($E$26*$C$26)+$E$27)*$M$11</f>
        <v>601.27044144000001</v>
      </c>
      <c r="H50" s="348">
        <f>(((H47-$C$26*100)*(1-$C$25)*$E$24/100)+(H47-$C$26*100)*($C$25*$E$25/100)+($E$26*$C$26)+$E$27)*$M$11</f>
        <v>502.52460120000006</v>
      </c>
      <c r="I50" s="337">
        <f>(((I47-$C$26*100)*(1-$C$25)*$E$24/100)+(I47-$C$26*100)*($C$25*$E$25/100)+($E$26*$C$26)+$E$27)*$M$11</f>
        <v>453.15168108</v>
      </c>
      <c r="J50" s="338"/>
      <c r="K50" s="471"/>
      <c r="S50" s="267" t="s">
        <v>138</v>
      </c>
      <c r="T50" s="436">
        <f>I34+I35</f>
        <v>61.711353831185754</v>
      </c>
      <c r="U50" s="195" t="s">
        <v>139</v>
      </c>
      <c r="V50" s="263"/>
    </row>
    <row r="51" spans="2:22" ht="20.25" customHeight="1" x14ac:dyDescent="0.25">
      <c r="B51" s="356" t="s">
        <v>69</v>
      </c>
      <c r="C51" s="357"/>
      <c r="D51" s="357"/>
      <c r="E51" s="358"/>
      <c r="F51" s="38" t="s">
        <v>13</v>
      </c>
      <c r="G51" s="363">
        <f>$I$25</f>
        <v>67.711353831185747</v>
      </c>
      <c r="H51" s="364">
        <f>$I$25</f>
        <v>67.711353831185747</v>
      </c>
      <c r="I51" s="365">
        <f>$I$25</f>
        <v>67.711353831185747</v>
      </c>
      <c r="J51" s="366"/>
      <c r="K51" s="471"/>
      <c r="S51" s="267" t="s">
        <v>20</v>
      </c>
      <c r="T51" s="435">
        <f>H56/E30</f>
        <v>73.027759703196352</v>
      </c>
      <c r="U51" s="262"/>
      <c r="V51" s="263"/>
    </row>
    <row r="52" spans="2:22" ht="25.05" customHeight="1" x14ac:dyDescent="0.3">
      <c r="B52" s="367" t="s">
        <v>7</v>
      </c>
      <c r="C52" s="368"/>
      <c r="D52" s="368"/>
      <c r="E52" s="369"/>
      <c r="F52" s="370" t="s">
        <v>13</v>
      </c>
      <c r="G52" s="371">
        <f>G49+G50+G51</f>
        <v>786.68179527118582</v>
      </c>
      <c r="H52" s="372">
        <f>H49+H50+H51</f>
        <v>687.93595503118581</v>
      </c>
      <c r="I52" s="373">
        <f>I49+I50+I51</f>
        <v>638.56303491118581</v>
      </c>
      <c r="J52" s="374"/>
      <c r="K52" s="471"/>
      <c r="S52" s="270" t="s">
        <v>21</v>
      </c>
      <c r="T52" s="437">
        <f>(I36*$I$11)/E30</f>
        <v>119.67123287671232</v>
      </c>
      <c r="U52" s="280"/>
      <c r="V52" s="264"/>
    </row>
    <row r="53" spans="2:22" ht="25.05" customHeight="1" x14ac:dyDescent="0.3">
      <c r="B53" s="375" t="s">
        <v>15</v>
      </c>
      <c r="C53" s="376"/>
      <c r="D53" s="376"/>
      <c r="E53" s="377" t="s">
        <v>92</v>
      </c>
      <c r="F53" s="378" t="s">
        <v>13</v>
      </c>
      <c r="G53" s="379">
        <f>G44-G52</f>
        <v>215.70609674689911</v>
      </c>
      <c r="H53" s="379">
        <f>H44-H52</f>
        <v>314.45193698689911</v>
      </c>
      <c r="I53" s="380">
        <f>I44-I52</f>
        <v>363.82485710689912</v>
      </c>
      <c r="J53" s="381"/>
      <c r="K53" s="471"/>
    </row>
    <row r="54" spans="2:22" ht="25.05" customHeight="1" x14ac:dyDescent="0.3">
      <c r="B54" s="382"/>
      <c r="C54" s="383"/>
      <c r="D54" s="383"/>
      <c r="E54" s="191" t="s">
        <v>93</v>
      </c>
      <c r="F54" s="44" t="s">
        <v>13</v>
      </c>
      <c r="G54" s="384">
        <f>G53*$E$30</f>
        <v>865.19478365514476</v>
      </c>
      <c r="H54" s="384">
        <f>H53*$E$30</f>
        <v>1261.2632637386612</v>
      </c>
      <c r="I54" s="385">
        <f>I53*$E$30</f>
        <v>1459.2975037804194</v>
      </c>
      <c r="J54" s="386"/>
      <c r="K54" s="471" t="s">
        <v>105</v>
      </c>
    </row>
    <row r="55" spans="2:22" s="30" customFormat="1" ht="21.15" hidden="1" customHeight="1" x14ac:dyDescent="0.3">
      <c r="B55" s="479" t="s">
        <v>17</v>
      </c>
      <c r="C55" s="480"/>
      <c r="D55" s="480"/>
      <c r="E55" s="481"/>
      <c r="F55" s="387" t="s">
        <v>1</v>
      </c>
      <c r="G55" s="388">
        <f>G54/(G56+G58+G61)</f>
        <v>1.0387570142320932</v>
      </c>
      <c r="H55" s="388">
        <f>H54/(H56+H58+H61)</f>
        <v>1.5142787343988469</v>
      </c>
      <c r="I55" s="494">
        <f>I54/(I56+I58+I61)</f>
        <v>1.7520395944822238</v>
      </c>
      <c r="J55" s="495"/>
      <c r="K55" s="471"/>
      <c r="L55" s="29"/>
    </row>
    <row r="56" spans="2:22" ht="20.25" customHeight="1" x14ac:dyDescent="0.25">
      <c r="B56" s="389" t="s">
        <v>99</v>
      </c>
      <c r="C56" s="390"/>
      <c r="D56" s="316">
        <f>E32</f>
        <v>2528.75</v>
      </c>
      <c r="E56" s="317">
        <f>100/E33+E34+I9/2</f>
        <v>11.583333333333334</v>
      </c>
      <c r="F56" s="162" t="s">
        <v>13</v>
      </c>
      <c r="G56" s="163">
        <f>H56</f>
        <v>292.91354166666667</v>
      </c>
      <c r="H56" s="164">
        <f>($E$32/$E$33+($I$9/2+$E$34)%*$E$32)</f>
        <v>292.91354166666667</v>
      </c>
      <c r="I56" s="165">
        <f>H56</f>
        <v>292.91354166666667</v>
      </c>
      <c r="J56" s="166"/>
      <c r="K56" s="471"/>
      <c r="L56" s="196"/>
      <c r="M56" s="197"/>
      <c r="N56" s="197"/>
    </row>
    <row r="57" spans="2:22" ht="20.25" customHeight="1" x14ac:dyDescent="0.25">
      <c r="B57" s="391" t="s">
        <v>141</v>
      </c>
      <c r="C57" s="392"/>
      <c r="D57" s="273"/>
      <c r="E57" s="274"/>
      <c r="F57" s="275" t="s">
        <v>13</v>
      </c>
      <c r="G57" s="276">
        <f>$E$35/10000*$E$36</f>
        <v>12</v>
      </c>
      <c r="H57" s="276">
        <f>$E$35/10000*$E$36</f>
        <v>12</v>
      </c>
      <c r="I57" s="277">
        <f>$E$35/10000*$E$36</f>
        <v>12</v>
      </c>
      <c r="J57" s="278"/>
      <c r="K57" s="471"/>
      <c r="L57" s="196"/>
      <c r="M57" s="197"/>
      <c r="N57" s="197"/>
    </row>
    <row r="58" spans="2:22" ht="20.25" customHeight="1" x14ac:dyDescent="0.25">
      <c r="B58" s="393" t="s">
        <v>100</v>
      </c>
      <c r="C58" s="394"/>
      <c r="D58" s="394"/>
      <c r="E58" s="395"/>
      <c r="F58" s="38" t="s">
        <v>13</v>
      </c>
      <c r="G58" s="39">
        <f>I35</f>
        <v>60</v>
      </c>
      <c r="H58" s="40">
        <f>I35</f>
        <v>60</v>
      </c>
      <c r="I58" s="41">
        <f>I35</f>
        <v>60</v>
      </c>
      <c r="J58" s="42"/>
      <c r="K58" s="471"/>
    </row>
    <row r="59" spans="2:22" ht="25.05" customHeight="1" x14ac:dyDescent="0.3">
      <c r="B59" s="396" t="s">
        <v>91</v>
      </c>
      <c r="C59" s="397"/>
      <c r="D59" s="397"/>
      <c r="E59" s="190" t="s">
        <v>93</v>
      </c>
      <c r="F59" s="43" t="s">
        <v>13</v>
      </c>
      <c r="G59" s="175">
        <f>G54-G56-G57-G58</f>
        <v>500.28124198847809</v>
      </c>
      <c r="H59" s="175">
        <f>H54-H56-H57-H58</f>
        <v>896.34972207199451</v>
      </c>
      <c r="I59" s="176">
        <f>I54-I56-I57-I58</f>
        <v>1094.3839621137527</v>
      </c>
      <c r="J59" s="177"/>
      <c r="K59" s="471"/>
    </row>
    <row r="60" spans="2:22" ht="25.05" customHeight="1" x14ac:dyDescent="0.3">
      <c r="B60" s="382"/>
      <c r="C60" s="383"/>
      <c r="D60" s="383"/>
      <c r="E60" s="191" t="s">
        <v>16</v>
      </c>
      <c r="F60" s="44" t="s">
        <v>13</v>
      </c>
      <c r="G60" s="159">
        <f>G59/$I$36</f>
        <v>16.676041399615936</v>
      </c>
      <c r="H60" s="159">
        <f>H59/$I$36</f>
        <v>29.878324069066483</v>
      </c>
      <c r="I60" s="160">
        <f>I59/$I$36</f>
        <v>36.479465403791757</v>
      </c>
      <c r="J60" s="161"/>
      <c r="K60" s="471"/>
    </row>
    <row r="61" spans="2:22" ht="20.25" customHeight="1" x14ac:dyDescent="0.25">
      <c r="B61" s="393" t="s">
        <v>103</v>
      </c>
      <c r="C61" s="394"/>
      <c r="D61" s="319">
        <f>I36</f>
        <v>30</v>
      </c>
      <c r="E61" s="318">
        <f>I11</f>
        <v>16</v>
      </c>
      <c r="F61" s="38" t="s">
        <v>13</v>
      </c>
      <c r="G61" s="155">
        <f>$I$36*$I$11</f>
        <v>480</v>
      </c>
      <c r="H61" s="155">
        <f>$I$36*$I$11</f>
        <v>480</v>
      </c>
      <c r="I61" s="472">
        <f>$I$36*$I$11</f>
        <v>480</v>
      </c>
      <c r="J61" s="473"/>
      <c r="K61" s="471"/>
      <c r="L61" s="10"/>
    </row>
    <row r="62" spans="2:22" ht="25.05" customHeight="1" x14ac:dyDescent="0.3">
      <c r="B62" s="396" t="s">
        <v>131</v>
      </c>
      <c r="C62" s="397"/>
      <c r="D62" s="397"/>
      <c r="E62" s="190" t="s">
        <v>130</v>
      </c>
      <c r="F62" s="43" t="s">
        <v>13</v>
      </c>
      <c r="G62" s="175">
        <f>G59-G61</f>
        <v>20.281241988478087</v>
      </c>
      <c r="H62" s="175">
        <f>H59-H61</f>
        <v>416.34972207199451</v>
      </c>
      <c r="I62" s="176">
        <f>I59-I61</f>
        <v>614.38396211375266</v>
      </c>
      <c r="J62" s="178"/>
      <c r="K62" s="471"/>
    </row>
    <row r="63" spans="2:22" ht="25.05" customHeight="1" x14ac:dyDescent="0.3">
      <c r="B63" s="382" t="s">
        <v>14</v>
      </c>
      <c r="C63" s="383"/>
      <c r="D63" s="383"/>
      <c r="E63" s="398"/>
      <c r="F63" s="44" t="s">
        <v>1</v>
      </c>
      <c r="G63" s="426">
        <f>(G54-G57-G58-G61-$E$32/$E$33-$E$32*$E$34%)/$E$32*2</f>
        <v>4.1040527524253564E-2</v>
      </c>
      <c r="H63" s="427">
        <f>(H54-H57-H58-H61-$E$32/$E$33-$E$32*$E$34%)/$E$32*2</f>
        <v>0.35429290920177525</v>
      </c>
      <c r="I63" s="492">
        <f>(I54-I57-I58-I61-$E$32/$E$33-$E$32*$E$34%)/$E$32*2</f>
        <v>0.51091910004053609</v>
      </c>
      <c r="J63" s="493">
        <f>(J54-J57-J58-J61-$E$32/$E$33-$E$32*$E$34%)/$E$32*2</f>
        <v>-0.20666666666666667</v>
      </c>
      <c r="L63" s="173" t="s">
        <v>142</v>
      </c>
    </row>
    <row r="64" spans="2:22" ht="25.05" customHeight="1" x14ac:dyDescent="0.3">
      <c r="B64" s="474" t="s">
        <v>110</v>
      </c>
      <c r="C64" s="475"/>
      <c r="D64" s="475"/>
      <c r="E64" s="476"/>
      <c r="F64" s="45"/>
      <c r="G64" s="66"/>
      <c r="H64" s="66"/>
      <c r="I64" s="67"/>
      <c r="J64" s="68"/>
      <c r="K64" s="233"/>
      <c r="L64"/>
      <c r="M64"/>
      <c r="N64"/>
    </row>
    <row r="65" spans="2:14" ht="25.05" customHeight="1" x14ac:dyDescent="0.3">
      <c r="B65" s="419" t="s">
        <v>72</v>
      </c>
      <c r="C65" s="400"/>
      <c r="D65" s="422"/>
      <c r="E65" s="422"/>
      <c r="F65" s="423" t="s">
        <v>13</v>
      </c>
      <c r="G65" s="424">
        <f>((G52*$E$30+G56+G58+G61)-($E$23+G43)*$E$30)/($E$20*$E$30*(1-$I$22%))/$M$9</f>
        <v>2.7763973402158673</v>
      </c>
      <c r="H65" s="425">
        <f>((H52*$E$30+H56+H58+H61)-($E$23+H43)*$E$30)/($E$20*$E$30*(1-$I$22%))/$M$9</f>
        <v>2.4868090526906736</v>
      </c>
      <c r="I65" s="496">
        <f>((I52*$E$30+I56+I58+I61)-($E$23+I43)*$E$30)/($E$20*$E$30*(1-$I$22%))/$M$9</f>
        <v>2.3420149089280771</v>
      </c>
      <c r="J65" s="497">
        <f>((J52*$E$30+J56+J58+J61)-($E$23+J43)*$E$30)/($E$20*$E$30*(1-$I$22%))/$M$9</f>
        <v>0</v>
      </c>
      <c r="K65" s="233"/>
      <c r="L65"/>
      <c r="M65"/>
      <c r="N65"/>
    </row>
    <row r="66" spans="2:14" ht="20.25" customHeight="1" x14ac:dyDescent="0.3">
      <c r="B66" s="399" t="s">
        <v>73</v>
      </c>
      <c r="C66" s="400"/>
      <c r="D66" s="401"/>
      <c r="E66" s="401"/>
      <c r="F66" s="415" t="s">
        <v>13</v>
      </c>
      <c r="G66" s="416">
        <f>G65-$E$22/$E$20</f>
        <v>2.7763973402158673</v>
      </c>
      <c r="H66" s="416">
        <f>H65-$E$22/$E$20</f>
        <v>2.4868090526906736</v>
      </c>
      <c r="I66" s="486">
        <f>I65-$E$22/$E$20</f>
        <v>2.3420149089280771</v>
      </c>
      <c r="J66" s="487"/>
      <c r="L66" s="173" t="s">
        <v>108</v>
      </c>
      <c r="M66"/>
      <c r="N66"/>
    </row>
    <row r="67" spans="2:14" ht="20.25" customHeight="1" thickBot="1" x14ac:dyDescent="0.35">
      <c r="B67" s="402" t="s">
        <v>74</v>
      </c>
      <c r="C67" s="403"/>
      <c r="D67" s="404"/>
      <c r="E67" s="404"/>
      <c r="F67" s="417" t="s">
        <v>13</v>
      </c>
      <c r="G67" s="418">
        <f>G65-(G61+G58+G56)/($E$20*$E$30*(1-$I$22%))/$M$9</f>
        <v>2.1674066774473149</v>
      </c>
      <c r="H67" s="418">
        <f>H65-(H61+H58+H56)/($E$20*$E$30*(1-$I$22%))/$M$9</f>
        <v>1.8778183899221212</v>
      </c>
      <c r="I67" s="488">
        <f>I65-(I61+I58+I56)/($E$20*$E$30*(1-$I$22%))/$M$9</f>
        <v>1.7330242461595247</v>
      </c>
      <c r="J67" s="489">
        <f>J65-(J61+J58+J56)/($E$20*$E$30*(1-$I$22%))/$M$9</f>
        <v>0</v>
      </c>
      <c r="L67" s="173" t="s">
        <v>109</v>
      </c>
    </row>
    <row r="68" spans="2:14" ht="17.399999999999999" x14ac:dyDescent="0.3">
      <c r="B68" s="405"/>
      <c r="C68" s="405"/>
      <c r="D68" s="405"/>
      <c r="E68" s="405"/>
      <c r="F68" s="406"/>
      <c r="G68" s="406"/>
      <c r="H68" s="406"/>
      <c r="I68" s="406"/>
      <c r="J68" s="406"/>
    </row>
    <row r="69" spans="2:14" s="179" customFormat="1" ht="15" x14ac:dyDescent="0.25">
      <c r="B69" s="400" t="s">
        <v>157</v>
      </c>
      <c r="C69" s="407"/>
      <c r="D69" s="407"/>
      <c r="E69" s="407"/>
      <c r="F69" s="408"/>
      <c r="G69" s="408"/>
      <c r="H69" s="408"/>
      <c r="I69" s="408"/>
      <c r="J69" s="408"/>
      <c r="K69" s="73"/>
      <c r="L69" s="73"/>
    </row>
    <row r="70" spans="2:14" ht="13.95" customHeight="1" x14ac:dyDescent="0.25">
      <c r="B70" s="303" t="s">
        <v>158</v>
      </c>
      <c r="C70" s="407"/>
      <c r="D70" s="407"/>
      <c r="E70" s="407"/>
      <c r="F70" s="409"/>
      <c r="G70" s="410"/>
      <c r="H70" s="410"/>
      <c r="I70" s="410"/>
      <c r="J70" s="409"/>
    </row>
    <row r="71" spans="2:14" ht="25.05" customHeight="1" x14ac:dyDescent="0.3">
      <c r="B71" s="304" t="s">
        <v>162</v>
      </c>
      <c r="C71" s="407"/>
      <c r="D71" s="407"/>
      <c r="E71" s="407"/>
      <c r="F71" s="409"/>
      <c r="G71" s="411"/>
      <c r="H71" s="411"/>
      <c r="I71" s="411"/>
      <c r="J71" s="409"/>
    </row>
    <row r="72" spans="2:14" ht="13.95" customHeight="1" x14ac:dyDescent="0.25">
      <c r="B72" s="303" t="s">
        <v>161</v>
      </c>
      <c r="C72" s="407"/>
      <c r="D72" s="407"/>
      <c r="E72" s="407"/>
      <c r="F72" s="409"/>
      <c r="G72" s="412"/>
      <c r="H72" s="412"/>
      <c r="I72" s="412"/>
      <c r="J72" s="409"/>
    </row>
    <row r="73" spans="2:14" ht="13.95" customHeight="1" x14ac:dyDescent="0.25">
      <c r="B73" s="303" t="s">
        <v>159</v>
      </c>
      <c r="C73" s="407"/>
      <c r="D73" s="407"/>
      <c r="E73" s="407"/>
      <c r="F73" s="409"/>
      <c r="G73" s="412"/>
      <c r="H73" s="412"/>
      <c r="I73" s="412"/>
      <c r="J73" s="409"/>
    </row>
    <row r="74" spans="2:14" ht="13.95" customHeight="1" x14ac:dyDescent="0.25">
      <c r="B74" s="303" t="s">
        <v>160</v>
      </c>
      <c r="C74" s="407"/>
      <c r="D74" s="407"/>
      <c r="E74" s="407"/>
      <c r="F74" s="409"/>
      <c r="G74" s="412"/>
      <c r="H74" s="412"/>
      <c r="I74" s="412"/>
      <c r="J74" s="409"/>
    </row>
    <row r="75" spans="2:14" x14ac:dyDescent="0.25">
      <c r="B75" s="407"/>
      <c r="C75" s="407"/>
      <c r="D75" s="407"/>
      <c r="E75" s="407"/>
      <c r="F75" s="409"/>
      <c r="G75" s="409"/>
      <c r="H75" s="409"/>
      <c r="I75" s="409"/>
      <c r="J75" s="409"/>
    </row>
    <row r="76" spans="2:14" x14ac:dyDescent="0.25">
      <c r="B76" s="407"/>
      <c r="C76" s="407"/>
      <c r="D76" s="407"/>
      <c r="E76" s="407"/>
      <c r="F76" s="413"/>
      <c r="G76" s="414"/>
      <c r="H76" s="414"/>
      <c r="I76" s="414"/>
      <c r="J76" s="409"/>
    </row>
    <row r="77" spans="2:14" x14ac:dyDescent="0.25">
      <c r="B77"/>
      <c r="C77"/>
      <c r="D77"/>
      <c r="E77"/>
      <c r="F77" s="69"/>
      <c r="G77" s="70"/>
      <c r="H77" s="70"/>
      <c r="I77" s="70"/>
    </row>
    <row r="78" spans="2:14" x14ac:dyDescent="0.25">
      <c r="B78"/>
      <c r="C78"/>
      <c r="D78"/>
      <c r="E78"/>
      <c r="F78" s="69"/>
      <c r="G78" s="70"/>
      <c r="H78" s="70"/>
      <c r="I78" s="70"/>
    </row>
    <row r="79" spans="2:14" x14ac:dyDescent="0.25">
      <c r="B79"/>
      <c r="C79"/>
      <c r="D79"/>
      <c r="E79"/>
    </row>
    <row r="80" spans="2:14" x14ac:dyDescent="0.25">
      <c r="G80" s="54"/>
      <c r="H80" s="54"/>
      <c r="I80" s="54"/>
    </row>
    <row r="81" spans="2:12" x14ac:dyDescent="0.25">
      <c r="G81" s="54"/>
      <c r="H81" s="54"/>
      <c r="I81" s="54"/>
    </row>
    <row r="82" spans="2:12" x14ac:dyDescent="0.25">
      <c r="G82" s="54"/>
      <c r="H82" s="54"/>
      <c r="I82" s="54"/>
    </row>
    <row r="83" spans="2:12" x14ac:dyDescent="0.25">
      <c r="G83" s="71"/>
      <c r="H83" s="71"/>
      <c r="I83" s="71"/>
    </row>
    <row r="84" spans="2:12" x14ac:dyDescent="0.25">
      <c r="G84" s="72"/>
      <c r="H84" s="72"/>
      <c r="I84" s="72"/>
    </row>
    <row r="85" spans="2:12" x14ac:dyDescent="0.25">
      <c r="G85" s="72"/>
      <c r="H85" s="72"/>
      <c r="I85" s="72"/>
    </row>
    <row r="86" spans="2:12" ht="15" x14ac:dyDescent="0.25">
      <c r="B86" s="12"/>
      <c r="C86" s="12"/>
      <c r="D86" s="12"/>
      <c r="E86" s="12"/>
      <c r="F86" s="12"/>
      <c r="G86" s="53"/>
      <c r="H86" s="53"/>
      <c r="I86" s="53"/>
      <c r="J86" s="12"/>
    </row>
    <row r="87" spans="2:12" ht="15" x14ac:dyDescent="0.25">
      <c r="B87" s="74"/>
      <c r="C87" s="74"/>
      <c r="D87" s="12"/>
      <c r="E87" s="12"/>
      <c r="F87" s="12"/>
      <c r="G87" s="50"/>
      <c r="H87" s="50"/>
      <c r="I87" s="50"/>
      <c r="J87" s="12"/>
    </row>
    <row r="88" spans="2:12" ht="15" x14ac:dyDescent="0.25">
      <c r="B88" s="49"/>
      <c r="C88" s="49"/>
      <c r="D88" s="12"/>
      <c r="E88" s="12"/>
      <c r="F88" s="12"/>
      <c r="G88" s="51"/>
      <c r="H88" s="51"/>
      <c r="I88" s="51"/>
      <c r="J88" s="12"/>
    </row>
    <row r="89" spans="2:12" ht="15" x14ac:dyDescent="0.25">
      <c r="B89" s="49"/>
      <c r="C89" s="49"/>
      <c r="D89" s="12"/>
      <c r="E89" s="12"/>
      <c r="F89" s="12"/>
      <c r="G89" s="51"/>
      <c r="H89" s="51"/>
      <c r="I89" s="51"/>
      <c r="J89" s="12"/>
    </row>
    <row r="90" spans="2:12" ht="15" x14ac:dyDescent="0.25">
      <c r="B90" s="49"/>
      <c r="C90" s="49"/>
      <c r="D90" s="12"/>
      <c r="E90" s="12"/>
      <c r="F90" s="12"/>
      <c r="G90" s="52"/>
      <c r="H90" s="52"/>
      <c r="I90" s="52"/>
      <c r="J90" s="12"/>
    </row>
    <row r="92" spans="2:12" s="88" customFormat="1" ht="13.8" x14ac:dyDescent="0.25">
      <c r="B92" s="49"/>
      <c r="C92" s="49"/>
      <c r="D92" s="49"/>
      <c r="E92" s="49"/>
      <c r="F92" s="49"/>
      <c r="G92" s="87"/>
      <c r="H92" s="87"/>
      <c r="I92" s="87"/>
      <c r="J92" s="49"/>
      <c r="K92" s="49"/>
      <c r="L92" s="49"/>
    </row>
    <row r="93" spans="2:12" s="88" customFormat="1" ht="13.8" x14ac:dyDescent="0.25">
      <c r="B93" s="49"/>
      <c r="C93" s="49"/>
      <c r="D93" s="49"/>
      <c r="E93" s="49"/>
      <c r="F93" s="49"/>
      <c r="G93" s="87"/>
      <c r="H93" s="87"/>
      <c r="I93" s="87"/>
      <c r="J93" s="49"/>
      <c r="K93" s="49"/>
      <c r="L93" s="49"/>
    </row>
    <row r="94" spans="2:12" s="88" customFormat="1" ht="13.8" x14ac:dyDescent="0.25">
      <c r="B94" s="49"/>
      <c r="C94" s="49"/>
      <c r="D94" s="49"/>
      <c r="E94" s="49"/>
      <c r="F94" s="49"/>
      <c r="G94" s="87"/>
      <c r="H94" s="87"/>
      <c r="I94" s="87"/>
      <c r="J94" s="49"/>
      <c r="K94" s="49"/>
      <c r="L94" s="49"/>
    </row>
    <row r="95" spans="2:12" s="88" customFormat="1" ht="13.8" x14ac:dyDescent="0.25">
      <c r="B95" s="49"/>
      <c r="C95" s="49"/>
      <c r="D95" s="49"/>
      <c r="E95" s="49"/>
      <c r="F95" s="49"/>
      <c r="G95" s="87"/>
      <c r="H95" s="87"/>
      <c r="I95" s="87"/>
      <c r="J95" s="49"/>
      <c r="K95" s="49"/>
      <c r="L95" s="49"/>
    </row>
    <row r="96" spans="2:12" s="88" customFormat="1" ht="13.8" x14ac:dyDescent="0.25">
      <c r="B96" s="49"/>
      <c r="C96" s="49"/>
      <c r="D96" s="49"/>
      <c r="E96" s="49"/>
      <c r="F96" s="49"/>
      <c r="G96" s="89"/>
      <c r="H96" s="89"/>
      <c r="I96" s="89"/>
      <c r="J96" s="49"/>
      <c r="K96" s="49"/>
      <c r="L96" s="49"/>
    </row>
  </sheetData>
  <sheetProtection sheet="1" objects="1" scenarios="1"/>
  <mergeCells count="21">
    <mergeCell ref="I65:J65"/>
    <mergeCell ref="I66:J66"/>
    <mergeCell ref="I67:J67"/>
    <mergeCell ref="K54:K62"/>
    <mergeCell ref="B55:E55"/>
    <mergeCell ref="I55:J55"/>
    <mergeCell ref="I61:J61"/>
    <mergeCell ref="I63:J63"/>
    <mergeCell ref="B64:E64"/>
    <mergeCell ref="K42:K53"/>
    <mergeCell ref="B2:G2"/>
    <mergeCell ref="L2:N2"/>
    <mergeCell ref="I4:J4"/>
    <mergeCell ref="I13:J13"/>
    <mergeCell ref="B19:J19"/>
    <mergeCell ref="G20:H20"/>
    <mergeCell ref="G21:H21"/>
    <mergeCell ref="G22:H22"/>
    <mergeCell ref="B39:J39"/>
    <mergeCell ref="G40:J40"/>
    <mergeCell ref="I41:J41"/>
  </mergeCells>
  <pageMargins left="0.70866141732283472" right="0.70866141732283472" top="0.78740157480314965" bottom="0.78740157480314965" header="0.31496062992125984" footer="0.31496062992125984"/>
  <pageSetup paperSize="9" scale="50" orientation="portrait" verticalDpi="0" r:id="rId1"/>
  <headerFooter>
    <oddFooter>&amp;LLEL, Abt.2, J.Miez, K. Schabel&amp;C&amp;F&amp;R&amp;D</oddFooter>
  </headerFooter>
  <colBreaks count="2" manualBreakCount="2">
    <brk id="11" max="1048575" man="1"/>
    <brk id="3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L13" sqref="L13"/>
    </sheetView>
  </sheetViews>
  <sheetFormatPr baseColWidth="10" defaultRowHeight="13.2" x14ac:dyDescent="0.25"/>
  <sheetData/>
  <sheetProtection sheet="1" objects="1" scenarios="1"/>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6"/>
  <sheetViews>
    <sheetView zoomScaleNormal="100" workbookViewId="0">
      <selection activeCell="E10" sqref="E10"/>
    </sheetView>
  </sheetViews>
  <sheetFormatPr baseColWidth="10" defaultColWidth="11.33203125" defaultRowHeight="13.2" x14ac:dyDescent="0.25"/>
  <cols>
    <col min="1" max="1" width="1.33203125" style="1" customWidth="1"/>
    <col min="2" max="2" width="27.21875" style="11" customWidth="1"/>
    <col min="3" max="3" width="13" style="11" customWidth="1"/>
    <col min="4" max="4" width="25.77734375" style="11" customWidth="1"/>
    <col min="5" max="5" width="18.33203125" style="11" customWidth="1"/>
    <col min="6" max="6" width="8.88671875" style="11" customWidth="1"/>
    <col min="7" max="7" width="31.109375" style="11" customWidth="1"/>
    <col min="8" max="8" width="20.33203125" style="11" customWidth="1"/>
    <col min="9" max="9" width="11" style="11" customWidth="1"/>
    <col min="10" max="10" width="11.21875" style="11" customWidth="1"/>
    <col min="11" max="11" width="9.77734375" style="11" customWidth="1"/>
    <col min="12" max="12" width="8.33203125" style="11" customWidth="1"/>
    <col min="13" max="13" width="11.44140625" style="1" customWidth="1"/>
    <col min="14" max="14" width="4" style="1" customWidth="1"/>
    <col min="15" max="15" width="1.44140625" style="1" customWidth="1"/>
    <col min="16" max="16" width="4.109375" style="1" hidden="1" customWidth="1"/>
    <col min="17" max="17" width="18.77734375" style="1" hidden="1" customWidth="1"/>
    <col min="18" max="18" width="5.21875" style="1" customWidth="1"/>
    <col min="19" max="56" width="0" style="1" hidden="1" customWidth="1"/>
    <col min="57" max="16384" width="11.33203125" style="1"/>
  </cols>
  <sheetData>
    <row r="1" spans="2:22" ht="6.15" customHeight="1" thickBot="1" x14ac:dyDescent="0.35">
      <c r="B1" s="10"/>
      <c r="C1" s="10"/>
      <c r="D1" s="10"/>
      <c r="E1" s="10"/>
      <c r="F1" s="10"/>
      <c r="G1" s="10"/>
      <c r="H1" s="10"/>
      <c r="I1" s="10"/>
      <c r="J1" s="10"/>
      <c r="K1" s="10"/>
      <c r="L1" s="10"/>
      <c r="M1" s="2"/>
      <c r="N1" s="2"/>
      <c r="O1" s="2"/>
    </row>
    <row r="2" spans="2:22" ht="36" customHeight="1" thickBot="1" x14ac:dyDescent="0.35">
      <c r="B2" s="459" t="s">
        <v>85</v>
      </c>
      <c r="C2" s="460"/>
      <c r="D2" s="460"/>
      <c r="E2" s="460"/>
      <c r="F2" s="460"/>
      <c r="G2" s="460"/>
      <c r="H2" s="432" t="s">
        <v>199</v>
      </c>
      <c r="I2" s="247"/>
      <c r="J2" s="248" t="s">
        <v>187</v>
      </c>
      <c r="L2" s="463" t="s">
        <v>38</v>
      </c>
      <c r="M2" s="464"/>
      <c r="N2" s="465"/>
      <c r="O2" s="2"/>
    </row>
    <row r="3" spans="2:22" ht="14.25" customHeight="1" thickBot="1" x14ac:dyDescent="0.3">
      <c r="B3" s="75"/>
      <c r="C3" s="75"/>
      <c r="D3" s="75"/>
      <c r="E3" s="75"/>
      <c r="F3" s="75"/>
      <c r="G3" s="75"/>
      <c r="H3" s="75"/>
      <c r="I3" s="75"/>
      <c r="J3" s="75"/>
      <c r="K3" s="10"/>
      <c r="L3" s="10"/>
      <c r="M3"/>
      <c r="N3"/>
      <c r="O3"/>
    </row>
    <row r="4" spans="2:22" ht="22.65" customHeight="1" thickBot="1" x14ac:dyDescent="0.35">
      <c r="B4" s="96" t="s">
        <v>26</v>
      </c>
      <c r="C4" s="96"/>
      <c r="D4" s="149" t="s">
        <v>19</v>
      </c>
      <c r="F4" s="145" t="s">
        <v>27</v>
      </c>
      <c r="G4" s="146" t="s">
        <v>62</v>
      </c>
      <c r="H4" s="96" t="s">
        <v>18</v>
      </c>
      <c r="I4" s="457"/>
      <c r="J4" s="458"/>
      <c r="M4"/>
      <c r="N4"/>
      <c r="O4"/>
    </row>
    <row r="5" spans="2:22" ht="4.8" customHeight="1" x14ac:dyDescent="0.25">
      <c r="B5" s="76"/>
      <c r="C5" s="76"/>
      <c r="D5" s="76"/>
      <c r="E5" s="76"/>
      <c r="F5" s="76"/>
      <c r="G5" s="76"/>
      <c r="H5" s="76"/>
      <c r="I5" s="76"/>
      <c r="J5" s="76"/>
      <c r="K5" s="10"/>
      <c r="L5" s="10"/>
      <c r="M5"/>
      <c r="N5"/>
      <c r="O5"/>
    </row>
    <row r="6" spans="2:22" ht="14.25" customHeight="1" x14ac:dyDescent="0.25">
      <c r="B6" s="117"/>
      <c r="C6" s="117"/>
      <c r="D6" s="118" t="s">
        <v>32</v>
      </c>
      <c r="E6" s="119" t="s">
        <v>25</v>
      </c>
      <c r="F6" s="150" t="s">
        <v>30</v>
      </c>
      <c r="G6" s="113" t="s">
        <v>39</v>
      </c>
      <c r="H6" s="114"/>
      <c r="I6" s="115" t="s">
        <v>28</v>
      </c>
      <c r="J6" s="150" t="s">
        <v>30</v>
      </c>
      <c r="L6" s="182" t="s">
        <v>80</v>
      </c>
      <c r="M6" s="183"/>
      <c r="N6" s="183"/>
      <c r="O6" s="183"/>
      <c r="P6" s="183"/>
      <c r="Q6" s="183"/>
      <c r="R6" s="183"/>
      <c r="S6" s="183"/>
      <c r="T6" s="183"/>
      <c r="U6" s="183"/>
      <c r="V6" s="183"/>
    </row>
    <row r="7" spans="2:22" ht="14.25" customHeight="1" x14ac:dyDescent="0.3">
      <c r="E7" s="119" t="s">
        <v>24</v>
      </c>
      <c r="F7" s="315" t="str">
        <f>IF(F6="","X","")</f>
        <v/>
      </c>
      <c r="G7" s="116"/>
      <c r="H7" s="114"/>
      <c r="I7" s="115" t="s">
        <v>29</v>
      </c>
      <c r="J7" s="315" t="str">
        <f>IF($J$6="","x","")</f>
        <v/>
      </c>
      <c r="L7" s="10"/>
      <c r="M7" s="107" t="s">
        <v>0</v>
      </c>
      <c r="N7"/>
      <c r="O7"/>
      <c r="S7"/>
    </row>
    <row r="8" spans="2:22" ht="12.3" customHeight="1" thickBot="1" x14ac:dyDescent="0.35">
      <c r="D8" s="76"/>
      <c r="E8" s="76"/>
      <c r="F8" s="76"/>
      <c r="G8" s="76"/>
      <c r="H8" s="76"/>
      <c r="I8" s="76"/>
      <c r="J8" s="76"/>
      <c r="L8" s="15"/>
      <c r="M8" s="108"/>
      <c r="N8"/>
      <c r="O8" s="2"/>
      <c r="S8"/>
    </row>
    <row r="9" spans="2:22" ht="19.5" customHeight="1" x14ac:dyDescent="0.3">
      <c r="B9" s="77" t="s">
        <v>71</v>
      </c>
      <c r="C9" s="78"/>
      <c r="D9" s="78"/>
      <c r="E9" s="104">
        <v>0.107</v>
      </c>
      <c r="F9" s="105">
        <f>IF($J$7="",E9,"")</f>
        <v>0.107</v>
      </c>
      <c r="G9" s="79" t="s">
        <v>31</v>
      </c>
      <c r="H9" s="80"/>
      <c r="I9" s="147">
        <v>2.5</v>
      </c>
      <c r="J9" s="81" t="s">
        <v>1</v>
      </c>
      <c r="L9" s="14"/>
      <c r="M9" s="98">
        <f>IF($J$7="",1+F9,1)</f>
        <v>1.107</v>
      </c>
      <c r="N9"/>
      <c r="O9"/>
      <c r="S9"/>
    </row>
    <row r="10" spans="2:22" ht="19.5" customHeight="1" x14ac:dyDescent="0.3">
      <c r="B10" s="90" t="s">
        <v>23</v>
      </c>
      <c r="C10" s="91"/>
      <c r="D10" s="91"/>
      <c r="E10" s="100">
        <v>0.19</v>
      </c>
      <c r="F10" s="106">
        <f>IF($J$7="",E10,"")</f>
        <v>0.19</v>
      </c>
      <c r="G10" s="92" t="s">
        <v>22</v>
      </c>
      <c r="H10" s="93"/>
      <c r="I10" s="95">
        <v>40</v>
      </c>
      <c r="J10" s="94" t="s">
        <v>1</v>
      </c>
      <c r="L10" s="14"/>
      <c r="M10" s="109">
        <f>IF($J$7="",1+F10,1)</f>
        <v>1.19</v>
      </c>
      <c r="N10"/>
      <c r="O10"/>
      <c r="S10" s="142" t="s">
        <v>168</v>
      </c>
    </row>
    <row r="11" spans="2:22" ht="19.5" customHeight="1" thickBot="1" x14ac:dyDescent="0.35">
      <c r="B11" s="82" t="s">
        <v>152</v>
      </c>
      <c r="C11" s="83"/>
      <c r="D11" s="83"/>
      <c r="E11" s="101">
        <v>7.0000000000000007E-2</v>
      </c>
      <c r="F11" s="102">
        <f>IF($J$7="",E11,"")</f>
        <v>7.0000000000000007E-2</v>
      </c>
      <c r="G11" s="85" t="s">
        <v>2</v>
      </c>
      <c r="H11" s="86"/>
      <c r="I11" s="33">
        <v>16</v>
      </c>
      <c r="J11" s="84" t="s">
        <v>13</v>
      </c>
      <c r="L11" s="14"/>
      <c r="M11" s="99">
        <f>IF($J$7="",1+F11,1)</f>
        <v>1.07</v>
      </c>
      <c r="N11"/>
      <c r="O11"/>
    </row>
    <row r="12" spans="2:22" s="137" customFormat="1" ht="12.9" customHeight="1" thickBot="1" x14ac:dyDescent="0.35">
      <c r="B12" s="134"/>
      <c r="C12" s="134"/>
      <c r="D12" s="134"/>
      <c r="E12" s="124"/>
      <c r="F12" s="124"/>
      <c r="G12" s="135"/>
      <c r="H12" s="135"/>
      <c r="I12"/>
      <c r="J12"/>
      <c r="K12" s="125"/>
      <c r="L12" s="23"/>
      <c r="M12" s="136"/>
      <c r="N12" s="136"/>
      <c r="O12" s="136"/>
      <c r="S12" s="136"/>
    </row>
    <row r="13" spans="2:22" ht="17.399999999999999" x14ac:dyDescent="0.3">
      <c r="B13" s="309" t="s">
        <v>166</v>
      </c>
      <c r="C13" s="310"/>
      <c r="D13" s="310"/>
      <c r="E13" s="312" t="s">
        <v>167</v>
      </c>
      <c r="F13" s="310"/>
      <c r="G13" s="310"/>
      <c r="H13" s="311"/>
      <c r="I13" s="461" t="s">
        <v>198</v>
      </c>
      <c r="J13" s="462"/>
      <c r="K13" s="125"/>
      <c r="L13" s="14"/>
      <c r="M13"/>
      <c r="N13"/>
      <c r="O13"/>
      <c r="S13" s="256" t="s">
        <v>132</v>
      </c>
    </row>
    <row r="14" spans="2:22" ht="15" x14ac:dyDescent="0.25">
      <c r="B14" s="153" t="s">
        <v>34</v>
      </c>
      <c r="C14" s="193"/>
      <c r="D14" s="180" t="s">
        <v>33</v>
      </c>
      <c r="E14" s="156">
        <v>3.25</v>
      </c>
      <c r="F14" s="132" t="s">
        <v>163</v>
      </c>
      <c r="G14" s="240"/>
      <c r="H14" s="180"/>
      <c r="I14" s="306" t="s">
        <v>33</v>
      </c>
      <c r="J14" s="138">
        <f>41.3*0.5/4</f>
        <v>5.1624999999999996</v>
      </c>
      <c r="K14" s="125"/>
      <c r="M14"/>
      <c r="N14"/>
      <c r="O14"/>
      <c r="Q14"/>
      <c r="S14" s="123" t="s">
        <v>79</v>
      </c>
    </row>
    <row r="15" spans="2:22" ht="16.2" x14ac:dyDescent="0.35">
      <c r="B15" s="154" t="s">
        <v>63</v>
      </c>
      <c r="C15" s="131"/>
      <c r="D15" s="180" t="s">
        <v>164</v>
      </c>
      <c r="E15" s="157">
        <v>1.27</v>
      </c>
      <c r="F15" s="131" t="s">
        <v>188</v>
      </c>
      <c r="G15" s="240"/>
      <c r="H15" s="180"/>
      <c r="I15" s="307" t="s">
        <v>164</v>
      </c>
      <c r="J15" s="139">
        <f>20.8/4</f>
        <v>5.2</v>
      </c>
      <c r="K15" s="125"/>
      <c r="M15"/>
      <c r="N15"/>
      <c r="O15"/>
      <c r="S15" s="123" t="s">
        <v>190</v>
      </c>
    </row>
    <row r="16" spans="2:22" ht="16.8" thickBot="1" x14ac:dyDescent="0.4">
      <c r="B16" s="174" t="s">
        <v>64</v>
      </c>
      <c r="C16" s="194"/>
      <c r="D16" s="305" t="s">
        <v>165</v>
      </c>
      <c r="E16" s="158">
        <v>1.1499999999999999</v>
      </c>
      <c r="F16" s="194" t="s">
        <v>68</v>
      </c>
      <c r="G16" s="241"/>
      <c r="H16" s="305"/>
      <c r="I16" s="308" t="s">
        <v>165</v>
      </c>
      <c r="J16" s="141">
        <f>17/4.7*4</f>
        <v>14.468085106382977</v>
      </c>
      <c r="K16"/>
      <c r="L16" s="10"/>
      <c r="M16"/>
      <c r="N16"/>
      <c r="O16"/>
      <c r="S16" s="121"/>
    </row>
    <row r="17" spans="2:28" s="130" customFormat="1" ht="5.4" customHeight="1" x14ac:dyDescent="0.25">
      <c r="B17" s="126"/>
      <c r="C17" s="126"/>
      <c r="D17" s="127"/>
      <c r="E17" s="127"/>
      <c r="F17" s="181"/>
      <c r="G17" s="126"/>
      <c r="H17" s="126"/>
      <c r="I17" s="126"/>
      <c r="J17" s="126"/>
      <c r="K17" s="128"/>
      <c r="L17" s="129"/>
      <c r="M17" s="128"/>
      <c r="N17" s="128"/>
      <c r="O17" s="128"/>
      <c r="S17" s="128"/>
    </row>
    <row r="18" spans="2:28" ht="12.3" customHeight="1" thickBot="1" x14ac:dyDescent="0.35">
      <c r="B18" s="34"/>
      <c r="C18" s="34"/>
      <c r="D18" s="32"/>
      <c r="E18" s="24"/>
      <c r="F18" s="24"/>
      <c r="G18" s="24"/>
      <c r="H18" s="24"/>
      <c r="I18" s="24"/>
      <c r="J18" s="24"/>
      <c r="K18"/>
      <c r="L18" s="14"/>
      <c r="M18" s="7"/>
      <c r="N18" s="8"/>
      <c r="O18" s="9"/>
      <c r="P18"/>
      <c r="Q18"/>
      <c r="R18"/>
      <c r="S18"/>
      <c r="T18"/>
      <c r="U18"/>
    </row>
    <row r="19" spans="2:28" ht="30.75" customHeight="1" thickBot="1" x14ac:dyDescent="0.3">
      <c r="B19" s="466" t="s">
        <v>117</v>
      </c>
      <c r="C19" s="467"/>
      <c r="D19" s="467"/>
      <c r="E19" s="467"/>
      <c r="F19" s="467"/>
      <c r="G19" s="467"/>
      <c r="H19" s="467"/>
      <c r="I19" s="467"/>
      <c r="J19" s="468"/>
      <c r="K19" s="10"/>
      <c r="L19" s="255"/>
      <c r="M19" s="137"/>
      <c r="N19" s="137"/>
      <c r="O19" s="137"/>
      <c r="P19" s="137"/>
      <c r="Q19" s="137"/>
      <c r="R19"/>
      <c r="T19"/>
      <c r="U19"/>
    </row>
    <row r="20" spans="2:28" ht="20.25" customHeight="1" x14ac:dyDescent="0.25">
      <c r="B20" s="428" t="s">
        <v>121</v>
      </c>
      <c r="C20" s="198"/>
      <c r="D20" s="198"/>
      <c r="E20" s="431">
        <f>C28*E28/10</f>
        <v>319.2</v>
      </c>
      <c r="F20" s="236" t="s">
        <v>169</v>
      </c>
      <c r="G20" s="477" t="s">
        <v>175</v>
      </c>
      <c r="H20" s="478"/>
      <c r="I20" s="313">
        <v>4</v>
      </c>
      <c r="J20" s="199" t="s">
        <v>169</v>
      </c>
      <c r="L20" s="10"/>
      <c r="M20"/>
      <c r="N20"/>
      <c r="O20"/>
      <c r="P20"/>
      <c r="Q20"/>
      <c r="R20"/>
      <c r="S20" s="122" t="s">
        <v>192</v>
      </c>
      <c r="T20"/>
      <c r="U20"/>
    </row>
    <row r="21" spans="2:28" ht="20.25" customHeight="1" x14ac:dyDescent="0.25">
      <c r="B21" s="201" t="s">
        <v>182</v>
      </c>
      <c r="C21" s="202"/>
      <c r="D21" s="202"/>
      <c r="E21" s="203">
        <v>2.8</v>
      </c>
      <c r="F21" s="237" t="s">
        <v>13</v>
      </c>
      <c r="G21" s="469" t="s">
        <v>174</v>
      </c>
      <c r="H21" s="470"/>
      <c r="I21" s="224">
        <v>110</v>
      </c>
      <c r="J21" s="200" t="s">
        <v>170</v>
      </c>
      <c r="N21"/>
      <c r="O21"/>
      <c r="P21" s="60"/>
      <c r="R21" s="60"/>
      <c r="S21" s="122" t="s">
        <v>193</v>
      </c>
      <c r="T21"/>
      <c r="U21"/>
    </row>
    <row r="22" spans="2:28" ht="20.25" customHeight="1" x14ac:dyDescent="0.25">
      <c r="B22" s="201" t="s">
        <v>52</v>
      </c>
      <c r="C22" s="202"/>
      <c r="D22" s="202"/>
      <c r="E22" s="204"/>
      <c r="F22" s="47" t="s">
        <v>170</v>
      </c>
      <c r="G22" s="482" t="s">
        <v>89</v>
      </c>
      <c r="H22" s="483"/>
      <c r="I22" s="224">
        <v>3.5</v>
      </c>
      <c r="J22" s="200" t="s">
        <v>1</v>
      </c>
      <c r="L22" s="12"/>
      <c r="M22" s="4"/>
      <c r="N22" s="4"/>
      <c r="O22" s="4"/>
      <c r="P22" s="57"/>
      <c r="R22" s="61"/>
      <c r="S22" s="122" t="s">
        <v>151</v>
      </c>
      <c r="T22"/>
      <c r="U22"/>
    </row>
    <row r="23" spans="2:28" ht="20.25" customHeight="1" x14ac:dyDescent="0.25">
      <c r="B23" s="206"/>
      <c r="C23" s="207"/>
      <c r="D23" s="207"/>
      <c r="E23" s="215"/>
      <c r="F23" s="48"/>
      <c r="G23" s="217" t="s">
        <v>87</v>
      </c>
      <c r="H23" s="210"/>
      <c r="I23" s="430">
        <f>1.86/4.7</f>
        <v>0.39574468085106385</v>
      </c>
      <c r="J23" s="200" t="s">
        <v>171</v>
      </c>
      <c r="K23" s="17"/>
      <c r="L23" s="55"/>
      <c r="M23" s="31"/>
      <c r="N23" s="4"/>
      <c r="O23" s="4"/>
      <c r="P23" s="58"/>
      <c r="R23" s="61"/>
      <c r="S23" s="123" t="s">
        <v>118</v>
      </c>
      <c r="T23" s="5"/>
      <c r="U23" s="3"/>
      <c r="V23" s="3"/>
      <c r="W23" s="3"/>
      <c r="X23" s="3"/>
      <c r="Y23" s="3"/>
      <c r="AA23" s="249">
        <v>0.8</v>
      </c>
      <c r="AB23" s="1" t="s">
        <v>119</v>
      </c>
    </row>
    <row r="24" spans="2:28" ht="20.25" customHeight="1" x14ac:dyDescent="0.25">
      <c r="B24" s="201" t="s">
        <v>70</v>
      </c>
      <c r="C24" s="202"/>
      <c r="D24" s="202"/>
      <c r="E24" s="228">
        <v>65</v>
      </c>
      <c r="F24" s="47" t="s">
        <v>12</v>
      </c>
      <c r="G24" s="206" t="s">
        <v>189</v>
      </c>
      <c r="H24" s="211"/>
      <c r="I24" s="251">
        <f>$E$14*$J$14+$E$15*$J$15+$E$16*$J$16</f>
        <v>40.020422872340419</v>
      </c>
      <c r="J24" s="208" t="s">
        <v>13</v>
      </c>
      <c r="K24" s="17"/>
      <c r="L24" s="55"/>
      <c r="M24" s="4"/>
      <c r="N24" s="4"/>
      <c r="O24" s="4"/>
      <c r="P24" s="58"/>
      <c r="R24" s="61"/>
      <c r="S24" s="123" t="s">
        <v>194</v>
      </c>
      <c r="T24" s="5"/>
      <c r="U24" s="3"/>
      <c r="V24" s="3"/>
      <c r="W24" s="3"/>
      <c r="X24" s="3"/>
      <c r="Y24" s="3"/>
    </row>
    <row r="25" spans="2:28" ht="20.25" customHeight="1" x14ac:dyDescent="0.25">
      <c r="B25" s="252" t="s">
        <v>122</v>
      </c>
      <c r="C25" s="302">
        <v>0.2</v>
      </c>
      <c r="D25" s="195" t="s">
        <v>101</v>
      </c>
      <c r="E25" s="228">
        <v>38</v>
      </c>
      <c r="F25" s="240" t="s">
        <v>12</v>
      </c>
      <c r="G25" s="242" t="s">
        <v>120</v>
      </c>
      <c r="H25" s="212"/>
      <c r="I25" s="213">
        <f>SUM(I27:I34)</f>
        <v>67.711353831185747</v>
      </c>
      <c r="J25" s="200" t="s">
        <v>170</v>
      </c>
      <c r="K25" s="17"/>
      <c r="L25" s="55"/>
      <c r="M25" s="4"/>
      <c r="N25" s="4"/>
      <c r="O25" s="4"/>
      <c r="P25" s="58"/>
      <c r="R25" s="61"/>
      <c r="S25" s="123" t="s">
        <v>185</v>
      </c>
      <c r="T25" s="5"/>
      <c r="U25" s="3"/>
      <c r="V25" s="3"/>
      <c r="W25" s="3"/>
      <c r="X25" s="3"/>
      <c r="Y25" s="3"/>
    </row>
    <row r="26" spans="2:28" ht="20.25" customHeight="1" x14ac:dyDescent="0.25">
      <c r="B26" s="192" t="s">
        <v>124</v>
      </c>
      <c r="C26" s="301">
        <v>0.55000000000000004</v>
      </c>
      <c r="D26" s="235" t="s">
        <v>125</v>
      </c>
      <c r="E26" s="228">
        <v>70</v>
      </c>
      <c r="F26" s="253" t="s">
        <v>12</v>
      </c>
      <c r="G26" s="217" t="s">
        <v>4</v>
      </c>
      <c r="H26" s="133" t="s">
        <v>35</v>
      </c>
      <c r="I26" s="110"/>
      <c r="J26" s="214"/>
      <c r="K26" s="17"/>
      <c r="L26" s="55"/>
      <c r="M26" s="4"/>
      <c r="N26" s="4"/>
      <c r="O26" s="4"/>
      <c r="P26" s="58"/>
      <c r="R26" s="61"/>
      <c r="S26" s="123"/>
      <c r="T26" s="5"/>
      <c r="U26" s="3"/>
      <c r="V26" s="3"/>
      <c r="W26" s="3"/>
      <c r="X26" s="3"/>
      <c r="Y26" s="3"/>
    </row>
    <row r="27" spans="2:28" ht="20.25" customHeight="1" x14ac:dyDescent="0.25">
      <c r="B27" s="219" t="s">
        <v>177</v>
      </c>
      <c r="C27" s="220"/>
      <c r="D27" s="235"/>
      <c r="E27" s="250">
        <v>2.5</v>
      </c>
      <c r="F27" s="238" t="s">
        <v>170</v>
      </c>
      <c r="G27" s="429" t="s">
        <v>54</v>
      </c>
      <c r="H27" s="250">
        <v>10</v>
      </c>
      <c r="I27" s="216">
        <f>IF($J$7="",H27,H27/M27)</f>
        <v>10</v>
      </c>
      <c r="J27" s="200" t="s">
        <v>170</v>
      </c>
      <c r="L27" s="55"/>
      <c r="M27" s="103">
        <f>1+$E$10</f>
        <v>1.19</v>
      </c>
      <c r="N27" s="4"/>
      <c r="O27" s="4"/>
      <c r="P27" s="58"/>
      <c r="R27" s="61"/>
      <c r="S27" s="123" t="s">
        <v>145</v>
      </c>
      <c r="T27" s="5"/>
      <c r="U27" s="3"/>
      <c r="V27" s="3"/>
      <c r="W27" s="3"/>
      <c r="X27" s="3"/>
      <c r="Y27" s="3"/>
    </row>
    <row r="28" spans="2:28" ht="20.25" customHeight="1" x14ac:dyDescent="0.25">
      <c r="B28" s="207" t="s">
        <v>191</v>
      </c>
      <c r="C28" s="438">
        <v>84</v>
      </c>
      <c r="D28" s="207" t="s">
        <v>8</v>
      </c>
      <c r="E28" s="215">
        <v>38</v>
      </c>
      <c r="F28" s="239" t="s">
        <v>86</v>
      </c>
      <c r="G28" s="429" t="s">
        <v>55</v>
      </c>
      <c r="H28" s="250">
        <v>3</v>
      </c>
      <c r="I28" s="216">
        <f>IF($J$7="",H28,H28/M29)</f>
        <v>3</v>
      </c>
      <c r="J28" s="200" t="s">
        <v>170</v>
      </c>
      <c r="L28" s="55"/>
      <c r="M28" s="103">
        <f>1+$E$9</f>
        <v>1.107</v>
      </c>
      <c r="N28" s="4"/>
      <c r="O28" s="4"/>
      <c r="P28" s="58"/>
      <c r="R28" s="61"/>
      <c r="S28" s="123" t="s">
        <v>184</v>
      </c>
      <c r="T28" s="5"/>
      <c r="U28" s="3"/>
      <c r="V28" s="3"/>
      <c r="W28" s="3"/>
      <c r="X28" s="3"/>
      <c r="Y28" s="3"/>
    </row>
    <row r="29" spans="2:28" ht="19.649999999999999" customHeight="1" x14ac:dyDescent="0.25">
      <c r="B29" s="217" t="s">
        <v>9</v>
      </c>
      <c r="C29" s="210"/>
      <c r="D29" s="210"/>
      <c r="E29" s="218">
        <v>7</v>
      </c>
      <c r="F29" s="47" t="s">
        <v>10</v>
      </c>
      <c r="G29" s="429" t="s">
        <v>56</v>
      </c>
      <c r="H29" s="250">
        <v>15</v>
      </c>
      <c r="I29" s="216">
        <f>IF($J$7="",H29,H29/M30)</f>
        <v>15</v>
      </c>
      <c r="J29" s="200" t="s">
        <v>170</v>
      </c>
      <c r="L29" s="55"/>
      <c r="M29" s="103">
        <f t="shared" ref="M29:M34" si="0">1+$E$10</f>
        <v>1.19</v>
      </c>
      <c r="N29" s="4"/>
      <c r="O29" s="4"/>
      <c r="P29" s="58"/>
      <c r="R29" s="61"/>
      <c r="S29" s="123" t="s">
        <v>146</v>
      </c>
      <c r="T29" s="5"/>
      <c r="U29" s="3"/>
      <c r="V29" s="3"/>
      <c r="W29" s="3"/>
      <c r="X29" s="3"/>
      <c r="Y29" s="3"/>
    </row>
    <row r="30" spans="2:28" ht="20.25" customHeight="1" x14ac:dyDescent="0.25">
      <c r="B30" s="206" t="s">
        <v>11</v>
      </c>
      <c r="C30" s="207"/>
      <c r="D30" s="207"/>
      <c r="E30" s="209">
        <f>365/(C28+E29)</f>
        <v>4.0109890109890109</v>
      </c>
      <c r="F30" s="48"/>
      <c r="G30" s="429" t="s">
        <v>147</v>
      </c>
      <c r="H30" s="250">
        <v>20</v>
      </c>
      <c r="I30" s="216">
        <f>IF($J$7="",H30,H30/M31)</f>
        <v>20</v>
      </c>
      <c r="J30" s="200" t="s">
        <v>170</v>
      </c>
      <c r="L30" s="12"/>
      <c r="M30" s="103">
        <f t="shared" si="0"/>
        <v>1.19</v>
      </c>
      <c r="N30" s="31"/>
      <c r="O30" s="31"/>
      <c r="P30" s="152"/>
      <c r="R30" s="61"/>
      <c r="S30" s="123" t="s">
        <v>195</v>
      </c>
      <c r="T30" s="5"/>
      <c r="U30" s="3"/>
      <c r="V30" s="3"/>
      <c r="W30" s="3"/>
      <c r="X30" s="3"/>
      <c r="Y30" s="3"/>
    </row>
    <row r="31" spans="2:28" ht="20.25" customHeight="1" x14ac:dyDescent="0.25">
      <c r="B31" s="219" t="s">
        <v>126</v>
      </c>
      <c r="C31" s="220"/>
      <c r="D31" s="220" t="s">
        <v>202</v>
      </c>
      <c r="E31" s="222">
        <f>20000/4.8</f>
        <v>4166.666666666667</v>
      </c>
      <c r="F31" s="238" t="s">
        <v>172</v>
      </c>
      <c r="G31" s="243" t="s">
        <v>67</v>
      </c>
      <c r="H31" s="250">
        <v>8</v>
      </c>
      <c r="I31" s="216">
        <f>IF($J$7="",H31,H31/M33)</f>
        <v>8</v>
      </c>
      <c r="J31" s="200" t="s">
        <v>170</v>
      </c>
      <c r="L31" s="55"/>
      <c r="M31" s="103">
        <f t="shared" si="0"/>
        <v>1.19</v>
      </c>
      <c r="N31" s="4"/>
      <c r="O31" s="4"/>
      <c r="P31" s="58"/>
      <c r="R31" s="61"/>
      <c r="S31" s="433" t="s">
        <v>205</v>
      </c>
      <c r="T31" s="5"/>
      <c r="U31" s="3"/>
      <c r="V31" s="3"/>
      <c r="W31" s="3"/>
      <c r="X31" s="3"/>
      <c r="Y31" s="3"/>
    </row>
    <row r="32" spans="2:28" ht="20.25" customHeight="1" x14ac:dyDescent="0.25">
      <c r="B32" s="219" t="s">
        <v>127</v>
      </c>
      <c r="C32" s="220"/>
      <c r="D32" s="221"/>
      <c r="E32" s="223">
        <f>IF($F$7="",E31*$M$10-E31*$M$10*$I$10%,E31*$M$10)</f>
        <v>2975</v>
      </c>
      <c r="F32" s="238" t="s">
        <v>172</v>
      </c>
      <c r="G32" s="243" t="s">
        <v>106</v>
      </c>
      <c r="H32" s="250">
        <v>2</v>
      </c>
      <c r="I32" s="216">
        <f>IF($J$7="",H32,H32/M34)</f>
        <v>2</v>
      </c>
      <c r="J32" s="200" t="s">
        <v>170</v>
      </c>
      <c r="M32" s="103">
        <f t="shared" si="0"/>
        <v>1.19</v>
      </c>
      <c r="S32" s="123" t="s">
        <v>149</v>
      </c>
      <c r="U32" s="3"/>
      <c r="V32" s="3"/>
      <c r="W32" s="3"/>
      <c r="X32" s="3"/>
      <c r="Y32" s="3"/>
    </row>
    <row r="33" spans="2:25" ht="20.25" customHeight="1" x14ac:dyDescent="0.25">
      <c r="B33" s="217" t="s">
        <v>128</v>
      </c>
      <c r="C33" s="210"/>
      <c r="D33" s="210"/>
      <c r="E33" s="224">
        <v>12</v>
      </c>
      <c r="F33" s="47" t="s">
        <v>5</v>
      </c>
      <c r="G33" s="429" t="s">
        <v>57</v>
      </c>
      <c r="H33" s="250">
        <v>8</v>
      </c>
      <c r="I33" s="216">
        <f>IF($J$7="",H33,H33/M34)</f>
        <v>8</v>
      </c>
      <c r="J33" s="200" t="s">
        <v>170</v>
      </c>
      <c r="L33" s="12"/>
      <c r="M33" s="103">
        <f t="shared" si="0"/>
        <v>1.19</v>
      </c>
      <c r="N33" s="4"/>
      <c r="O33" s="4"/>
      <c r="P33" s="57"/>
      <c r="R33" s="61"/>
      <c r="S33" s="123" t="s">
        <v>148</v>
      </c>
      <c r="T33" s="5"/>
      <c r="U33" s="3"/>
      <c r="V33" s="3"/>
      <c r="W33" s="3"/>
      <c r="X33" s="3"/>
      <c r="Y33" s="3"/>
    </row>
    <row r="34" spans="2:25" ht="20.25" customHeight="1" x14ac:dyDescent="0.25">
      <c r="B34" s="217" t="s">
        <v>129</v>
      </c>
      <c r="C34" s="210"/>
      <c r="D34" s="210"/>
      <c r="E34" s="224">
        <v>2</v>
      </c>
      <c r="F34" s="47" t="s">
        <v>1</v>
      </c>
      <c r="G34" s="244" t="s">
        <v>66</v>
      </c>
      <c r="H34" s="225">
        <v>1.4999999999999999E-2</v>
      </c>
      <c r="I34" s="226">
        <f>(H49+0.6*(I27+I28+I29+I30+I31+I33+H50))/E30*H34</f>
        <v>1.7113538311857532</v>
      </c>
      <c r="J34" s="234" t="s">
        <v>170</v>
      </c>
      <c r="L34" s="56"/>
      <c r="M34" s="103">
        <f t="shared" si="0"/>
        <v>1.19</v>
      </c>
      <c r="N34" s="4"/>
      <c r="O34" s="4"/>
      <c r="P34" s="58"/>
      <c r="R34" s="61"/>
      <c r="S34" s="123"/>
      <c r="T34" s="5"/>
      <c r="U34" s="3"/>
      <c r="V34" s="3"/>
      <c r="W34" s="3"/>
      <c r="X34" s="3"/>
      <c r="Y34" s="3"/>
    </row>
    <row r="35" spans="2:25" ht="20.25" customHeight="1" x14ac:dyDescent="0.25">
      <c r="B35" s="252" t="s">
        <v>96</v>
      </c>
      <c r="C35" s="227"/>
      <c r="D35" s="13"/>
      <c r="E35" s="228">
        <v>300</v>
      </c>
      <c r="F35" s="240" t="s">
        <v>97</v>
      </c>
      <c r="G35" s="201" t="s">
        <v>176</v>
      </c>
      <c r="H35" s="250">
        <v>60</v>
      </c>
      <c r="I35" s="216">
        <f>IF($J$7="",H35,H35/M36)</f>
        <v>60</v>
      </c>
      <c r="J35" s="200" t="s">
        <v>172</v>
      </c>
      <c r="L35" s="62"/>
      <c r="M35" s="103"/>
      <c r="N35" s="63"/>
      <c r="O35" s="63"/>
      <c r="P35" s="64"/>
      <c r="R35" s="61"/>
      <c r="S35" s="123" t="s">
        <v>186</v>
      </c>
      <c r="T35" s="5"/>
      <c r="U35" s="3"/>
      <c r="V35" s="3"/>
      <c r="W35" s="3"/>
      <c r="X35" s="3"/>
      <c r="Y35" s="3"/>
    </row>
    <row r="36" spans="2:25" ht="20.25" customHeight="1" thickBot="1" x14ac:dyDescent="0.3">
      <c r="B36" s="254" t="s">
        <v>144</v>
      </c>
      <c r="C36" s="229"/>
      <c r="D36" s="140"/>
      <c r="E36" s="279">
        <v>400</v>
      </c>
      <c r="F36" s="241" t="s">
        <v>98</v>
      </c>
      <c r="G36" s="254" t="s">
        <v>143</v>
      </c>
      <c r="H36" s="230"/>
      <c r="I36" s="231">
        <v>30</v>
      </c>
      <c r="J36" s="232" t="s">
        <v>173</v>
      </c>
      <c r="M36" s="103">
        <f>1+$E$10</f>
        <v>1.19</v>
      </c>
      <c r="R36" s="61"/>
      <c r="S36" s="123" t="s">
        <v>183</v>
      </c>
      <c r="T36" s="5"/>
      <c r="U36" s="3"/>
      <c r="V36" s="3"/>
      <c r="W36" s="3"/>
      <c r="X36" s="3"/>
      <c r="Y36" s="3"/>
    </row>
    <row r="37" spans="2:25" ht="20.25" customHeight="1" x14ac:dyDescent="0.25">
      <c r="R37" s="65"/>
      <c r="S37" s="123"/>
      <c r="T37" s="5"/>
      <c r="U37" s="3"/>
      <c r="V37" s="3"/>
      <c r="W37" s="3"/>
      <c r="X37" s="3"/>
      <c r="Y37" s="3"/>
    </row>
    <row r="38" spans="2:25" ht="11.25" customHeight="1" thickBot="1" x14ac:dyDescent="0.3">
      <c r="B38" s="25"/>
      <c r="C38" s="25"/>
      <c r="I38" s="25"/>
      <c r="J38" s="25"/>
      <c r="K38" s="17"/>
      <c r="R38" s="5"/>
      <c r="S38" s="121"/>
      <c r="T38" s="5"/>
      <c r="U38" s="3"/>
      <c r="V38" s="3"/>
      <c r="W38" s="3"/>
      <c r="X38" s="3"/>
      <c r="Y38" s="3"/>
    </row>
    <row r="39" spans="2:25" ht="25.2" thickBot="1" x14ac:dyDescent="0.3">
      <c r="B39" s="466" t="s">
        <v>116</v>
      </c>
      <c r="C39" s="467"/>
      <c r="D39" s="467"/>
      <c r="E39" s="467"/>
      <c r="F39" s="467"/>
      <c r="G39" s="467"/>
      <c r="H39" s="467"/>
      <c r="I39" s="467"/>
      <c r="J39" s="468"/>
      <c r="K39" s="17">
        <f>17000/520</f>
        <v>32.692307692307693</v>
      </c>
      <c r="L39" s="17"/>
      <c r="M39" s="4"/>
      <c r="N39" s="4"/>
      <c r="O39" s="4"/>
      <c r="P39" s="58"/>
      <c r="Q39" s="4"/>
      <c r="R39" s="5"/>
      <c r="S39" s="121"/>
      <c r="T39" s="5"/>
      <c r="U39" s="3">
        <f>4000*0.6</f>
        <v>2400</v>
      </c>
      <c r="V39" s="3"/>
      <c r="W39" s="3"/>
      <c r="X39" s="3"/>
      <c r="Y39" s="3"/>
    </row>
    <row r="40" spans="2:25" s="31" customFormat="1" ht="24" customHeight="1" x14ac:dyDescent="0.3">
      <c r="B40" s="46" t="s">
        <v>150</v>
      </c>
      <c r="C40" s="167" t="str">
        <f>IF($E$22="","ohne Prämien","mit Prämien")</f>
        <v>ohne Prämien</v>
      </c>
      <c r="D40" s="320"/>
      <c r="E40" s="169" t="str">
        <f>IF($E$22=0,"",CONCATENATE($E$22," €/Tier"))</f>
        <v/>
      </c>
      <c r="F40" s="321"/>
      <c r="G40" s="484" t="s">
        <v>65</v>
      </c>
      <c r="H40" s="484"/>
      <c r="I40" s="484"/>
      <c r="J40" s="485"/>
      <c r="K40" s="17"/>
      <c r="L40" s="56"/>
      <c r="M40" s="4"/>
      <c r="N40" s="4"/>
      <c r="O40" s="4"/>
      <c r="P40" s="58"/>
      <c r="Q40" s="4"/>
      <c r="R40" s="5"/>
      <c r="S40" s="121"/>
      <c r="T40" s="5"/>
      <c r="U40" s="35"/>
      <c r="V40" s="35"/>
      <c r="W40" s="35"/>
      <c r="X40" s="35"/>
      <c r="Y40" s="35"/>
    </row>
    <row r="41" spans="2:25" s="31" customFormat="1" ht="20.25" customHeight="1" thickBot="1" x14ac:dyDescent="0.35">
      <c r="B41" s="170" t="str">
        <f>IF($J$7="",$I$6,$I$7)</f>
        <v xml:space="preserve">Pauschalierung </v>
      </c>
      <c r="C41" s="168" t="str">
        <f>IF(F7="","mit Inv.förderung","ohne Inv.förderung")</f>
        <v>mit Inv.förderung</v>
      </c>
      <c r="D41" s="320"/>
      <c r="E41" s="120">
        <f>IF($F$6=""," ",$I$10/100)</f>
        <v>0.4</v>
      </c>
      <c r="F41" s="322"/>
      <c r="G41" s="323">
        <v>2</v>
      </c>
      <c r="H41" s="324">
        <v>2.5</v>
      </c>
      <c r="I41" s="490">
        <v>2.25</v>
      </c>
      <c r="J41" s="491"/>
      <c r="K41" s="36"/>
      <c r="L41" s="111"/>
      <c r="M41" s="112"/>
      <c r="N41" s="112"/>
      <c r="O41" s="112"/>
      <c r="P41" s="59"/>
      <c r="Q41" s="37"/>
      <c r="R41" s="5"/>
      <c r="S41" s="123" t="s">
        <v>197</v>
      </c>
      <c r="T41" s="5"/>
      <c r="U41" s="35"/>
      <c r="V41" s="35"/>
      <c r="W41" s="35"/>
      <c r="X41" s="35"/>
      <c r="Y41" s="35"/>
    </row>
    <row r="42" spans="2:25" ht="20.25" customHeight="1" x14ac:dyDescent="0.25">
      <c r="B42" s="325" t="s">
        <v>107</v>
      </c>
      <c r="C42" s="326"/>
      <c r="D42" s="327">
        <f>E20*(1-I22%)</f>
        <v>308.02799999999996</v>
      </c>
      <c r="E42" s="328">
        <f>E21*M9</f>
        <v>3.0995999999999997</v>
      </c>
      <c r="F42" s="329" t="s">
        <v>13</v>
      </c>
      <c r="G42" s="330">
        <f>H42</f>
        <v>954.76358879999987</v>
      </c>
      <c r="H42" s="330">
        <f>($E$20*(1-$I$22%)*($E$21)*$M$9+E22)</f>
        <v>954.76358879999987</v>
      </c>
      <c r="I42" s="331">
        <f>H42</f>
        <v>954.76358879999987</v>
      </c>
      <c r="J42" s="332"/>
      <c r="K42" s="471" t="s">
        <v>104</v>
      </c>
      <c r="L42" s="111"/>
      <c r="M42" s="112"/>
      <c r="N42" s="112"/>
      <c r="O42" s="112"/>
      <c r="P42" s="58"/>
      <c r="Q42" s="4"/>
      <c r="R42" s="5"/>
      <c r="S42" s="121"/>
      <c r="T42" s="5"/>
      <c r="U42" s="3"/>
      <c r="V42" s="3"/>
      <c r="W42" s="3"/>
      <c r="X42" s="3"/>
      <c r="Y42" s="3"/>
    </row>
    <row r="43" spans="2:25" ht="20.25" customHeight="1" x14ac:dyDescent="0.25">
      <c r="B43" s="333" t="s">
        <v>6</v>
      </c>
      <c r="C43" s="334"/>
      <c r="D43" s="334"/>
      <c r="E43" s="335"/>
      <c r="F43" s="275" t="s">
        <v>13</v>
      </c>
      <c r="G43" s="336">
        <f>$I$24*$M$10</f>
        <v>47.624303218085096</v>
      </c>
      <c r="H43" s="336">
        <f>$I$24*$M$10</f>
        <v>47.624303218085096</v>
      </c>
      <c r="I43" s="337">
        <f>$I$24*$M$10</f>
        <v>47.624303218085096</v>
      </c>
      <c r="J43" s="338"/>
      <c r="K43" s="471"/>
      <c r="L43" s="17"/>
      <c r="M43" s="4"/>
      <c r="N43" s="6"/>
      <c r="O43" s="4"/>
      <c r="P43" s="12"/>
      <c r="Q43" s="151"/>
      <c r="R43" s="5"/>
      <c r="S43" s="272" t="s">
        <v>133</v>
      </c>
      <c r="T43" s="258"/>
      <c r="U43" s="259"/>
      <c r="V43" s="260"/>
      <c r="W43" s="3"/>
      <c r="X43" s="3"/>
      <c r="Y43" s="3"/>
    </row>
    <row r="44" spans="2:25" ht="20.25" customHeight="1" x14ac:dyDescent="0.3">
      <c r="B44" s="421" t="s">
        <v>178</v>
      </c>
      <c r="C44" s="339"/>
      <c r="D44" s="339"/>
      <c r="E44" s="340"/>
      <c r="F44" s="341" t="s">
        <v>13</v>
      </c>
      <c r="G44" s="342">
        <f>G42+G43</f>
        <v>1002.3878920180849</v>
      </c>
      <c r="H44" s="342">
        <f>H42+H43</f>
        <v>1002.3878920180849</v>
      </c>
      <c r="I44" s="343">
        <f>I42+I43</f>
        <v>1002.3878920180849</v>
      </c>
      <c r="J44" s="344"/>
      <c r="K44" s="471"/>
      <c r="L44" s="17"/>
      <c r="M44" s="4"/>
      <c r="N44" s="6"/>
      <c r="O44" s="4"/>
      <c r="P44" s="12"/>
      <c r="Q44" s="151"/>
      <c r="R44" s="5"/>
      <c r="S44" s="265" t="s">
        <v>134</v>
      </c>
      <c r="T44" s="257">
        <f>H49</f>
        <v>117.7</v>
      </c>
      <c r="U44" s="3"/>
      <c r="V44" s="261"/>
      <c r="W44" s="3"/>
      <c r="X44" s="3"/>
      <c r="Y44" s="3"/>
    </row>
    <row r="45" spans="2:25" ht="20.25" customHeight="1" x14ac:dyDescent="0.25">
      <c r="B45" s="333" t="s">
        <v>94</v>
      </c>
      <c r="C45" s="334"/>
      <c r="D45" s="334"/>
      <c r="E45" s="335"/>
      <c r="F45" s="275" t="s">
        <v>3</v>
      </c>
      <c r="G45" s="345">
        <f>$E$20</f>
        <v>319.2</v>
      </c>
      <c r="H45" s="346">
        <f>E20</f>
        <v>319.2</v>
      </c>
      <c r="I45" s="337">
        <f>E20</f>
        <v>319.2</v>
      </c>
      <c r="J45" s="347"/>
      <c r="K45" s="471"/>
      <c r="L45" s="16"/>
      <c r="M45" s="3"/>
      <c r="N45" s="3"/>
      <c r="O45" s="3"/>
      <c r="P45" s="55"/>
      <c r="Q45" s="3"/>
      <c r="R45" s="3"/>
      <c r="S45" s="265" t="s">
        <v>135</v>
      </c>
      <c r="T45" s="257">
        <f>H50</f>
        <v>502.52460120000006</v>
      </c>
      <c r="U45" s="3"/>
      <c r="V45" s="261"/>
      <c r="W45" s="3"/>
      <c r="X45" s="3"/>
      <c r="Y45" s="3"/>
    </row>
    <row r="46" spans="2:25" ht="20.25" customHeight="1" x14ac:dyDescent="0.25">
      <c r="B46" s="333" t="s">
        <v>88</v>
      </c>
      <c r="C46" s="334"/>
      <c r="D46" s="334"/>
      <c r="E46" s="335"/>
      <c r="F46" s="275" t="s">
        <v>3</v>
      </c>
      <c r="G46" s="345">
        <f>G45-G48</f>
        <v>315.2</v>
      </c>
      <c r="H46" s="348">
        <f>H45-H48</f>
        <v>315.2</v>
      </c>
      <c r="I46" s="337">
        <f>I45-I48</f>
        <v>315.2</v>
      </c>
      <c r="J46" s="347"/>
      <c r="K46" s="471"/>
      <c r="P46" s="12"/>
      <c r="S46" s="266" t="s">
        <v>136</v>
      </c>
      <c r="T46" s="257">
        <f>I27+I28</f>
        <v>13</v>
      </c>
      <c r="U46" s="3"/>
      <c r="V46" s="261"/>
    </row>
    <row r="47" spans="2:25" ht="20.25" customHeight="1" x14ac:dyDescent="0.3">
      <c r="B47" s="420" t="s">
        <v>123</v>
      </c>
      <c r="C47" s="349"/>
      <c r="D47" s="349"/>
      <c r="E47" s="350"/>
      <c r="F47" s="351" t="s">
        <v>3</v>
      </c>
      <c r="G47" s="352">
        <f>G46*G41*(1-$I$22%/2)</f>
        <v>619.36800000000005</v>
      </c>
      <c r="H47" s="353">
        <f>H46*H41*(1-$I$22%/2)</f>
        <v>774.21</v>
      </c>
      <c r="I47" s="354">
        <f>I46*I41*(1-$I$22%/2)</f>
        <v>696.78899999999999</v>
      </c>
      <c r="J47" s="355"/>
      <c r="K47" s="471"/>
      <c r="M47" s="314"/>
      <c r="P47" s="56"/>
      <c r="S47" s="267" t="s">
        <v>181</v>
      </c>
      <c r="T47" s="268">
        <f>I29+I30</f>
        <v>35</v>
      </c>
      <c r="U47" s="262"/>
      <c r="V47" s="263"/>
    </row>
    <row r="48" spans="2:25" ht="20.25" customHeight="1" x14ac:dyDescent="0.25">
      <c r="B48" s="356" t="s">
        <v>90</v>
      </c>
      <c r="C48" s="357"/>
      <c r="D48" s="357"/>
      <c r="E48" s="358"/>
      <c r="F48" s="38" t="s">
        <v>3</v>
      </c>
      <c r="G48" s="359">
        <f>$I$20</f>
        <v>4</v>
      </c>
      <c r="H48" s="360">
        <f>$I$20</f>
        <v>4</v>
      </c>
      <c r="I48" s="361">
        <f>$I$20</f>
        <v>4</v>
      </c>
      <c r="J48" s="362"/>
      <c r="K48" s="471"/>
      <c r="S48" s="267" t="s">
        <v>137</v>
      </c>
      <c r="T48" s="268">
        <f>I31</f>
        <v>8</v>
      </c>
      <c r="U48" s="262"/>
      <c r="V48" s="263"/>
    </row>
    <row r="49" spans="2:22" ht="20.25" customHeight="1" x14ac:dyDescent="0.25">
      <c r="B49" s="333" t="s">
        <v>95</v>
      </c>
      <c r="C49" s="334"/>
      <c r="D49" s="334"/>
      <c r="E49" s="335"/>
      <c r="F49" s="275" t="s">
        <v>13</v>
      </c>
      <c r="G49" s="348">
        <f>(I21)*$M$11</f>
        <v>117.7</v>
      </c>
      <c r="H49" s="348">
        <f>(I21)*$M$11</f>
        <v>117.7</v>
      </c>
      <c r="I49" s="337">
        <f>(I21)*$M$11</f>
        <v>117.7</v>
      </c>
      <c r="J49" s="338"/>
      <c r="K49" s="471"/>
      <c r="S49" s="267" t="s">
        <v>140</v>
      </c>
      <c r="T49" s="268">
        <f>I32+I33</f>
        <v>10</v>
      </c>
      <c r="U49" s="262"/>
      <c r="V49" s="263"/>
    </row>
    <row r="50" spans="2:22" ht="20.25" customHeight="1" x14ac:dyDescent="0.25">
      <c r="B50" s="333" t="s">
        <v>102</v>
      </c>
      <c r="C50" s="334"/>
      <c r="D50" s="334"/>
      <c r="E50" s="335"/>
      <c r="F50" s="275" t="s">
        <v>13</v>
      </c>
      <c r="G50" s="345">
        <f>(((G47-$C$26*100)*(1-$C$25)*$E$24/100)+(G47-$C$26*100)*($C$25*$E$25/100)+($E$26*$C$26)+$E$27)*$M$11</f>
        <v>403.77876096000006</v>
      </c>
      <c r="H50" s="348">
        <f>(((H47-$C$26*100)*(1-$C$25)*$E$24/100)+(H47-$C$26*100)*($C$25*$E$25/100)+($E$26*$C$26)+$E$27)*$M$11</f>
        <v>502.52460120000006</v>
      </c>
      <c r="I50" s="337">
        <f>(((I47-$C$26*100)*(1-$C$25)*$E$24/100)+(I47-$C$26*100)*($C$25*$E$25/100)+($E$26*$C$26)+$E$27)*$M$11</f>
        <v>453.15168108</v>
      </c>
      <c r="J50" s="338"/>
      <c r="K50" s="471"/>
      <c r="S50" s="267" t="s">
        <v>138</v>
      </c>
      <c r="T50" s="269">
        <f>I34+I35</f>
        <v>61.711353831185754</v>
      </c>
      <c r="U50" s="195" t="s">
        <v>139</v>
      </c>
      <c r="V50" s="263"/>
    </row>
    <row r="51" spans="2:22" ht="20.25" customHeight="1" x14ac:dyDescent="0.25">
      <c r="B51" s="356" t="s">
        <v>69</v>
      </c>
      <c r="C51" s="357"/>
      <c r="D51" s="357"/>
      <c r="E51" s="358"/>
      <c r="F51" s="38" t="s">
        <v>13</v>
      </c>
      <c r="G51" s="363">
        <f>$I$25</f>
        <v>67.711353831185747</v>
      </c>
      <c r="H51" s="364">
        <f>$I$25</f>
        <v>67.711353831185747</v>
      </c>
      <c r="I51" s="365">
        <f>$I$25</f>
        <v>67.711353831185747</v>
      </c>
      <c r="J51" s="366"/>
      <c r="K51" s="471"/>
      <c r="S51" s="267" t="s">
        <v>20</v>
      </c>
      <c r="T51" s="268">
        <f>H56/E30</f>
        <v>85.9150114155251</v>
      </c>
      <c r="U51" s="262"/>
      <c r="V51" s="263"/>
    </row>
    <row r="52" spans="2:22" ht="25.05" customHeight="1" x14ac:dyDescent="0.3">
      <c r="B52" s="367" t="s">
        <v>7</v>
      </c>
      <c r="C52" s="368"/>
      <c r="D52" s="368"/>
      <c r="E52" s="369"/>
      <c r="F52" s="370" t="s">
        <v>13</v>
      </c>
      <c r="G52" s="371">
        <f>G49+G50+G51</f>
        <v>589.19011479118581</v>
      </c>
      <c r="H52" s="372">
        <f>H49+H50+H51</f>
        <v>687.93595503118581</v>
      </c>
      <c r="I52" s="373">
        <f>I49+I50+I51</f>
        <v>638.56303491118581</v>
      </c>
      <c r="J52" s="374"/>
      <c r="K52" s="471"/>
      <c r="S52" s="270" t="s">
        <v>21</v>
      </c>
      <c r="T52" s="271">
        <f>(I36*$I$11)/E30</f>
        <v>119.67123287671232</v>
      </c>
      <c r="U52" s="280"/>
      <c r="V52" s="264"/>
    </row>
    <row r="53" spans="2:22" ht="25.05" customHeight="1" x14ac:dyDescent="0.3">
      <c r="B53" s="375" t="s">
        <v>15</v>
      </c>
      <c r="C53" s="376"/>
      <c r="D53" s="376"/>
      <c r="E53" s="377" t="s">
        <v>92</v>
      </c>
      <c r="F53" s="378" t="s">
        <v>13</v>
      </c>
      <c r="G53" s="379">
        <f>G44-G52</f>
        <v>413.19777722689912</v>
      </c>
      <c r="H53" s="379">
        <f>H44-H52</f>
        <v>314.45193698689911</v>
      </c>
      <c r="I53" s="380">
        <f>I44-I52</f>
        <v>363.82485710689912</v>
      </c>
      <c r="J53" s="381"/>
      <c r="K53" s="471"/>
    </row>
    <row r="54" spans="2:22" ht="25.05" customHeight="1" x14ac:dyDescent="0.3">
      <c r="B54" s="382"/>
      <c r="C54" s="383"/>
      <c r="D54" s="383"/>
      <c r="E54" s="191" t="s">
        <v>93</v>
      </c>
      <c r="F54" s="44" t="s">
        <v>13</v>
      </c>
      <c r="G54" s="384">
        <f>G53*$E$30</f>
        <v>1657.3317438221777</v>
      </c>
      <c r="H54" s="384">
        <f>H53*$E$30</f>
        <v>1261.2632637386612</v>
      </c>
      <c r="I54" s="385">
        <f>I53*$E$30</f>
        <v>1459.2975037804194</v>
      </c>
      <c r="J54" s="386"/>
      <c r="K54" s="471" t="s">
        <v>105</v>
      </c>
    </row>
    <row r="55" spans="2:22" s="30" customFormat="1" ht="21.15" hidden="1" customHeight="1" x14ac:dyDescent="0.3">
      <c r="B55" s="479" t="s">
        <v>17</v>
      </c>
      <c r="C55" s="480"/>
      <c r="D55" s="480"/>
      <c r="E55" s="481"/>
      <c r="F55" s="387" t="s">
        <v>1</v>
      </c>
      <c r="G55" s="388">
        <f>G54/(G56+G58+G61)</f>
        <v>1.87352920806068</v>
      </c>
      <c r="H55" s="388">
        <f>H54/(H56+H58+H61)</f>
        <v>1.4257939440770528</v>
      </c>
      <c r="I55" s="494">
        <f>I54/(I56+I58+I61)</f>
        <v>1.6496615760688664</v>
      </c>
      <c r="J55" s="495"/>
      <c r="K55" s="471"/>
      <c r="L55" s="29"/>
    </row>
    <row r="56" spans="2:22" ht="20.25" customHeight="1" x14ac:dyDescent="0.25">
      <c r="B56" s="389" t="s">
        <v>99</v>
      </c>
      <c r="C56" s="390"/>
      <c r="D56" s="316">
        <f>E32</f>
        <v>2975</v>
      </c>
      <c r="E56" s="317">
        <f>100/E33+E34+I9/2</f>
        <v>11.583333333333334</v>
      </c>
      <c r="F56" s="162" t="s">
        <v>13</v>
      </c>
      <c r="G56" s="163">
        <f>H56</f>
        <v>344.60416666666663</v>
      </c>
      <c r="H56" s="164">
        <f>($E$32/$E$33+($I$9/2+$E$34)%*$E$32)</f>
        <v>344.60416666666663</v>
      </c>
      <c r="I56" s="165">
        <f>H56</f>
        <v>344.60416666666663</v>
      </c>
      <c r="J56" s="166"/>
      <c r="K56" s="471"/>
      <c r="L56" s="196"/>
      <c r="M56" s="197"/>
      <c r="N56" s="197"/>
    </row>
    <row r="57" spans="2:22" ht="20.25" customHeight="1" x14ac:dyDescent="0.25">
      <c r="B57" s="391" t="s">
        <v>141</v>
      </c>
      <c r="C57" s="392"/>
      <c r="D57" s="273"/>
      <c r="E57" s="274"/>
      <c r="F57" s="275" t="s">
        <v>13</v>
      </c>
      <c r="G57" s="276">
        <f>$E$35/10000*$E$36</f>
        <v>12</v>
      </c>
      <c r="H57" s="276">
        <f>$E$35/10000*$E$36</f>
        <v>12</v>
      </c>
      <c r="I57" s="277">
        <f>$E$35/10000*$E$36</f>
        <v>12</v>
      </c>
      <c r="J57" s="278"/>
      <c r="K57" s="471"/>
      <c r="L57" s="196"/>
      <c r="M57" s="197"/>
      <c r="N57" s="197"/>
    </row>
    <row r="58" spans="2:22" ht="20.25" customHeight="1" x14ac:dyDescent="0.25">
      <c r="B58" s="393" t="s">
        <v>100</v>
      </c>
      <c r="C58" s="394"/>
      <c r="D58" s="394"/>
      <c r="E58" s="395"/>
      <c r="F58" s="38" t="s">
        <v>13</v>
      </c>
      <c r="G58" s="39">
        <f>I35</f>
        <v>60</v>
      </c>
      <c r="H58" s="40">
        <f>I35</f>
        <v>60</v>
      </c>
      <c r="I58" s="41">
        <f>I35</f>
        <v>60</v>
      </c>
      <c r="J58" s="42"/>
      <c r="K58" s="471"/>
    </row>
    <row r="59" spans="2:22" ht="25.05" customHeight="1" x14ac:dyDescent="0.3">
      <c r="B59" s="396" t="s">
        <v>91</v>
      </c>
      <c r="C59" s="397"/>
      <c r="D59" s="397"/>
      <c r="E59" s="190" t="s">
        <v>93</v>
      </c>
      <c r="F59" s="43" t="s">
        <v>13</v>
      </c>
      <c r="G59" s="175">
        <f>G54-G56-G57-G58</f>
        <v>1240.727577155511</v>
      </c>
      <c r="H59" s="175">
        <f>H54-H56-H57-H58</f>
        <v>844.65909707199455</v>
      </c>
      <c r="I59" s="176">
        <f>I54-I56-I57-I58</f>
        <v>1042.6933371137529</v>
      </c>
      <c r="J59" s="177"/>
      <c r="K59" s="471"/>
    </row>
    <row r="60" spans="2:22" ht="25.05" customHeight="1" x14ac:dyDescent="0.3">
      <c r="B60" s="382"/>
      <c r="C60" s="383"/>
      <c r="D60" s="383"/>
      <c r="E60" s="191" t="s">
        <v>16</v>
      </c>
      <c r="F60" s="44" t="s">
        <v>13</v>
      </c>
      <c r="G60" s="159">
        <f>G59/$I$36</f>
        <v>41.357585905183697</v>
      </c>
      <c r="H60" s="159">
        <f>H59/$I$36</f>
        <v>28.15530323573315</v>
      </c>
      <c r="I60" s="160">
        <f>I59/$I$36</f>
        <v>34.756444570458434</v>
      </c>
      <c r="J60" s="161"/>
      <c r="K60" s="471"/>
    </row>
    <row r="61" spans="2:22" ht="20.25" customHeight="1" x14ac:dyDescent="0.25">
      <c r="B61" s="393" t="s">
        <v>103</v>
      </c>
      <c r="C61" s="394"/>
      <c r="D61" s="319">
        <f>I36</f>
        <v>30</v>
      </c>
      <c r="E61" s="318">
        <f>I11</f>
        <v>16</v>
      </c>
      <c r="F61" s="38" t="s">
        <v>13</v>
      </c>
      <c r="G61" s="155">
        <f>$I$36*$I$11</f>
        <v>480</v>
      </c>
      <c r="H61" s="155">
        <f>$I$36*$I$11</f>
        <v>480</v>
      </c>
      <c r="I61" s="472">
        <f>$I$36*$I$11</f>
        <v>480</v>
      </c>
      <c r="J61" s="473"/>
      <c r="K61" s="471"/>
      <c r="L61" s="10"/>
    </row>
    <row r="62" spans="2:22" ht="25.05" customHeight="1" x14ac:dyDescent="0.3">
      <c r="B62" s="396" t="s">
        <v>131</v>
      </c>
      <c r="C62" s="397"/>
      <c r="D62" s="397"/>
      <c r="E62" s="190" t="s">
        <v>130</v>
      </c>
      <c r="F62" s="43" t="s">
        <v>13</v>
      </c>
      <c r="G62" s="175">
        <f>G59-G61</f>
        <v>760.72757715551097</v>
      </c>
      <c r="H62" s="175">
        <f>H59-H61</f>
        <v>364.65909707199455</v>
      </c>
      <c r="I62" s="176">
        <f>I59-I61</f>
        <v>562.69333711375293</v>
      </c>
      <c r="J62" s="178"/>
      <c r="K62" s="471"/>
    </row>
    <row r="63" spans="2:22" ht="25.05" customHeight="1" x14ac:dyDescent="0.3">
      <c r="B63" s="382" t="s">
        <v>14</v>
      </c>
      <c r="C63" s="383"/>
      <c r="D63" s="383"/>
      <c r="E63" s="398"/>
      <c r="F63" s="44" t="s">
        <v>1</v>
      </c>
      <c r="G63" s="426">
        <f>(G54-G57-G58-G61-$E$32/$E$33-$E$32*$E$34%)/$E$32*2</f>
        <v>0.53641349724740239</v>
      </c>
      <c r="H63" s="427">
        <f>(H54-H57-H58-H61-$E$32/$E$33-$E$32*$E$34%)/$E$32*2</f>
        <v>0.27014897282150896</v>
      </c>
      <c r="I63" s="492">
        <f>(I54-I57-I58-I61-$E$32/$E$33-$E$32*$E$34%)/$E$32*2</f>
        <v>0.40328123503445568</v>
      </c>
      <c r="J63" s="493">
        <f>(J54-J57-J58-J61-$E$32/$E$33-$E$32*$E$34%)/$E$32*2</f>
        <v>-0.20666666666666664</v>
      </c>
      <c r="L63" s="173" t="s">
        <v>142</v>
      </c>
    </row>
    <row r="64" spans="2:22" ht="25.05" customHeight="1" x14ac:dyDescent="0.3">
      <c r="B64" s="474" t="s">
        <v>110</v>
      </c>
      <c r="C64" s="475"/>
      <c r="D64" s="475"/>
      <c r="E64" s="476"/>
      <c r="F64" s="45"/>
      <c r="G64" s="66"/>
      <c r="H64" s="66"/>
      <c r="I64" s="67"/>
      <c r="J64" s="68"/>
      <c r="K64" s="233"/>
      <c r="L64"/>
      <c r="M64"/>
      <c r="N64"/>
    </row>
    <row r="65" spans="2:14" ht="25.05" customHeight="1" x14ac:dyDescent="0.3">
      <c r="B65" s="419" t="s">
        <v>72</v>
      </c>
      <c r="C65" s="400"/>
      <c r="D65" s="422"/>
      <c r="E65" s="422"/>
      <c r="F65" s="423" t="s">
        <v>13</v>
      </c>
      <c r="G65" s="424">
        <f>((G52*$E$30+G56+G58+G61)-($E$23+G43)*$E$30)/($E$20*$E$30*(1-$I$22%))/$M$9</f>
        <v>2.2350147334502082</v>
      </c>
      <c r="H65" s="425">
        <f>((H52*$E$30+H56+H58+H61)-($E$23+H43)*$E$30)/($E$20*$E$30*(1-$I$22%))/$M$9</f>
        <v>2.5246030209754013</v>
      </c>
      <c r="I65" s="496">
        <f>((I52*$E$30+I56+I58+I61)-($E$23+I43)*$E$30)/($E$20*$E$30*(1-$I$22%))/$M$9</f>
        <v>2.3798088772128052</v>
      </c>
      <c r="J65" s="497">
        <f>((J52*$E$30+J56+J58+J61)-($E$23+J43)*$E$30)/($E$20*$E$30*(1-$I$22%))/$M$9</f>
        <v>0</v>
      </c>
      <c r="K65" s="233"/>
      <c r="L65"/>
      <c r="M65"/>
      <c r="N65"/>
    </row>
    <row r="66" spans="2:14" ht="20.25" customHeight="1" x14ac:dyDescent="0.3">
      <c r="B66" s="399" t="s">
        <v>73</v>
      </c>
      <c r="C66" s="400"/>
      <c r="D66" s="401"/>
      <c r="E66" s="401"/>
      <c r="F66" s="415" t="s">
        <v>13</v>
      </c>
      <c r="G66" s="416">
        <f>G65-$E$22/$E$20</f>
        <v>2.2350147334502082</v>
      </c>
      <c r="H66" s="416">
        <f>H65-$E$22/$E$20</f>
        <v>2.5246030209754013</v>
      </c>
      <c r="I66" s="486">
        <f>I65-$E$22/$E$20</f>
        <v>2.3798088772128052</v>
      </c>
      <c r="J66" s="487"/>
      <c r="L66" s="173" t="s">
        <v>108</v>
      </c>
      <c r="M66"/>
      <c r="N66"/>
    </row>
    <row r="67" spans="2:14" ht="20.25" customHeight="1" thickBot="1" x14ac:dyDescent="0.35">
      <c r="B67" s="402" t="s">
        <v>74</v>
      </c>
      <c r="C67" s="403"/>
      <c r="D67" s="404"/>
      <c r="E67" s="404"/>
      <c r="F67" s="417" t="s">
        <v>13</v>
      </c>
      <c r="G67" s="418">
        <f>G65-(G61+G58+G56)/($E$20*$E$30*(1-$I$22%))/$M$9</f>
        <v>1.5882301023969276</v>
      </c>
      <c r="H67" s="418">
        <f>H65-(H61+H58+H56)/($E$20*$E$30*(1-$I$22%))/$M$9</f>
        <v>1.8778183899221208</v>
      </c>
      <c r="I67" s="488">
        <f>I65-(I61+I58+I56)/($E$20*$E$30*(1-$I$22%))/$M$9</f>
        <v>1.7330242461595247</v>
      </c>
      <c r="J67" s="489">
        <f>J65-(J61+J58+J56)/($E$20*$E$30*(1-$I$22%))/$M$9</f>
        <v>0</v>
      </c>
      <c r="L67" s="173" t="s">
        <v>109</v>
      </c>
    </row>
    <row r="68" spans="2:14" ht="17.399999999999999" x14ac:dyDescent="0.3">
      <c r="B68" s="405"/>
      <c r="C68" s="405"/>
      <c r="D68" s="405"/>
      <c r="E68" s="405"/>
      <c r="F68" s="406"/>
      <c r="G68" s="406"/>
      <c r="H68" s="406"/>
      <c r="I68" s="406"/>
      <c r="J68" s="406"/>
    </row>
    <row r="69" spans="2:14" s="179" customFormat="1" ht="15" x14ac:dyDescent="0.25">
      <c r="B69" s="400" t="s">
        <v>157</v>
      </c>
      <c r="C69" s="407"/>
      <c r="D69" s="407"/>
      <c r="E69" s="407"/>
      <c r="F69" s="408"/>
      <c r="G69" s="408"/>
      <c r="H69" s="408"/>
      <c r="I69" s="408"/>
      <c r="J69" s="408"/>
      <c r="K69" s="73"/>
      <c r="L69" s="73"/>
    </row>
    <row r="70" spans="2:14" ht="13.95" customHeight="1" x14ac:dyDescent="0.25">
      <c r="B70" s="303" t="s">
        <v>158</v>
      </c>
      <c r="C70" s="407"/>
      <c r="D70" s="407"/>
      <c r="E70" s="407"/>
      <c r="F70" s="409"/>
      <c r="G70" s="410"/>
      <c r="H70" s="410"/>
      <c r="I70" s="410"/>
      <c r="J70" s="409"/>
    </row>
    <row r="71" spans="2:14" ht="25.05" customHeight="1" x14ac:dyDescent="0.3">
      <c r="B71" s="304" t="s">
        <v>162</v>
      </c>
      <c r="C71" s="407"/>
      <c r="D71" s="407"/>
      <c r="E71" s="407"/>
      <c r="F71" s="409"/>
      <c r="G71" s="411"/>
      <c r="H71" s="411"/>
      <c r="I71" s="411"/>
      <c r="J71" s="409"/>
    </row>
    <row r="72" spans="2:14" ht="13.95" customHeight="1" x14ac:dyDescent="0.25">
      <c r="B72" s="303" t="s">
        <v>161</v>
      </c>
      <c r="C72" s="407"/>
      <c r="D72" s="407"/>
      <c r="E72" s="407"/>
      <c r="F72" s="409"/>
      <c r="G72" s="412"/>
      <c r="H72" s="412"/>
      <c r="I72" s="412"/>
      <c r="J72" s="409"/>
    </row>
    <row r="73" spans="2:14" ht="13.95" customHeight="1" x14ac:dyDescent="0.25">
      <c r="B73" s="303" t="s">
        <v>159</v>
      </c>
      <c r="C73" s="407"/>
      <c r="D73" s="407"/>
      <c r="E73" s="407"/>
      <c r="F73" s="409"/>
      <c r="G73" s="412"/>
      <c r="H73" s="412"/>
      <c r="I73" s="412"/>
      <c r="J73" s="409"/>
    </row>
    <row r="74" spans="2:14" ht="13.95" customHeight="1" x14ac:dyDescent="0.25">
      <c r="B74" s="303" t="s">
        <v>160</v>
      </c>
      <c r="C74" s="407"/>
      <c r="D74" s="407"/>
      <c r="E74" s="407"/>
      <c r="F74" s="409"/>
      <c r="G74" s="412"/>
      <c r="H74" s="412"/>
      <c r="I74" s="412"/>
      <c r="J74" s="409"/>
    </row>
    <row r="75" spans="2:14" x14ac:dyDescent="0.25">
      <c r="B75" s="407"/>
      <c r="C75" s="407"/>
      <c r="D75" s="407"/>
      <c r="E75" s="407"/>
      <c r="F75" s="409"/>
      <c r="G75" s="409"/>
      <c r="H75" s="409"/>
      <c r="I75" s="409"/>
      <c r="J75" s="409"/>
    </row>
    <row r="76" spans="2:14" x14ac:dyDescent="0.25">
      <c r="B76" s="407"/>
      <c r="C76" s="407"/>
      <c r="D76" s="407"/>
      <c r="E76" s="407"/>
      <c r="F76" s="413"/>
      <c r="G76" s="414"/>
      <c r="H76" s="414"/>
      <c r="I76" s="414"/>
      <c r="J76" s="409"/>
    </row>
    <row r="77" spans="2:14" x14ac:dyDescent="0.25">
      <c r="B77"/>
      <c r="C77"/>
      <c r="D77"/>
      <c r="E77"/>
      <c r="F77" s="69"/>
      <c r="G77" s="70"/>
      <c r="H77" s="70"/>
      <c r="I77" s="70"/>
    </row>
    <row r="78" spans="2:14" x14ac:dyDescent="0.25">
      <c r="B78"/>
      <c r="C78"/>
      <c r="D78"/>
      <c r="E78"/>
      <c r="F78" s="69"/>
      <c r="G78" s="70"/>
      <c r="H78" s="70"/>
      <c r="I78" s="70"/>
    </row>
    <row r="79" spans="2:14" x14ac:dyDescent="0.25">
      <c r="B79"/>
      <c r="C79"/>
      <c r="D79"/>
      <c r="E79"/>
    </row>
    <row r="80" spans="2:14" x14ac:dyDescent="0.25">
      <c r="G80" s="54"/>
      <c r="H80" s="54"/>
      <c r="I80" s="54"/>
    </row>
    <row r="81" spans="2:12" x14ac:dyDescent="0.25">
      <c r="G81" s="54"/>
      <c r="H81" s="54"/>
      <c r="I81" s="54"/>
    </row>
    <row r="82" spans="2:12" x14ac:dyDescent="0.25">
      <c r="G82" s="54"/>
      <c r="H82" s="54"/>
      <c r="I82" s="54"/>
    </row>
    <row r="83" spans="2:12" x14ac:dyDescent="0.25">
      <c r="G83" s="71"/>
      <c r="H83" s="71"/>
      <c r="I83" s="71"/>
    </row>
    <row r="84" spans="2:12" x14ac:dyDescent="0.25">
      <c r="G84" s="72"/>
      <c r="H84" s="72"/>
      <c r="I84" s="72"/>
    </row>
    <row r="85" spans="2:12" x14ac:dyDescent="0.25">
      <c r="G85" s="72"/>
      <c r="H85" s="72"/>
      <c r="I85" s="72"/>
    </row>
    <row r="86" spans="2:12" ht="15" x14ac:dyDescent="0.25">
      <c r="B86" s="12"/>
      <c r="C86" s="12"/>
      <c r="D86" s="12"/>
      <c r="E86" s="12"/>
      <c r="F86" s="12"/>
      <c r="G86" s="53"/>
      <c r="H86" s="53"/>
      <c r="I86" s="53"/>
      <c r="J86" s="12"/>
    </row>
    <row r="87" spans="2:12" ht="15" x14ac:dyDescent="0.25">
      <c r="B87" s="74"/>
      <c r="C87" s="74"/>
      <c r="D87" s="12"/>
      <c r="E87" s="12"/>
      <c r="F87" s="12"/>
      <c r="G87" s="50"/>
      <c r="H87" s="50"/>
      <c r="I87" s="50"/>
      <c r="J87" s="12"/>
    </row>
    <row r="88" spans="2:12" ht="15" x14ac:dyDescent="0.25">
      <c r="B88" s="49"/>
      <c r="C88" s="49"/>
      <c r="D88" s="12"/>
      <c r="E88" s="12"/>
      <c r="F88" s="12"/>
      <c r="G88" s="51"/>
      <c r="H88" s="51"/>
      <c r="I88" s="51"/>
      <c r="J88" s="12"/>
    </row>
    <row r="89" spans="2:12" ht="15" x14ac:dyDescent="0.25">
      <c r="B89" s="49"/>
      <c r="C89" s="49"/>
      <c r="D89" s="12"/>
      <c r="E89" s="12"/>
      <c r="F89" s="12"/>
      <c r="G89" s="51"/>
      <c r="H89" s="51"/>
      <c r="I89" s="51"/>
      <c r="J89" s="12"/>
    </row>
    <row r="90" spans="2:12" ht="15" x14ac:dyDescent="0.25">
      <c r="B90" s="49"/>
      <c r="C90" s="49"/>
      <c r="D90" s="12"/>
      <c r="E90" s="12"/>
      <c r="F90" s="12"/>
      <c r="G90" s="52"/>
      <c r="H90" s="52"/>
      <c r="I90" s="52"/>
      <c r="J90" s="12"/>
    </row>
    <row r="92" spans="2:12" s="88" customFormat="1" ht="13.8" x14ac:dyDescent="0.25">
      <c r="B92" s="49"/>
      <c r="C92" s="49"/>
      <c r="D92" s="49"/>
      <c r="E92" s="49"/>
      <c r="F92" s="49"/>
      <c r="G92" s="87"/>
      <c r="H92" s="87"/>
      <c r="I92" s="87"/>
      <c r="J92" s="49"/>
      <c r="K92" s="49"/>
      <c r="L92" s="49"/>
    </row>
    <row r="93" spans="2:12" s="88" customFormat="1" ht="13.8" x14ac:dyDescent="0.25">
      <c r="B93" s="49"/>
      <c r="C93" s="49"/>
      <c r="D93" s="49"/>
      <c r="E93" s="49"/>
      <c r="F93" s="49"/>
      <c r="G93" s="87"/>
      <c r="H93" s="87"/>
      <c r="I93" s="87"/>
      <c r="J93" s="49"/>
      <c r="K93" s="49"/>
      <c r="L93" s="49"/>
    </row>
    <row r="94" spans="2:12" s="88" customFormat="1" ht="13.8" x14ac:dyDescent="0.25">
      <c r="B94" s="49"/>
      <c r="C94" s="49"/>
      <c r="D94" s="49"/>
      <c r="E94" s="49"/>
      <c r="F94" s="49"/>
      <c r="G94" s="87"/>
      <c r="H94" s="87"/>
      <c r="I94" s="87"/>
      <c r="J94" s="49"/>
      <c r="K94" s="49"/>
      <c r="L94" s="49"/>
    </row>
    <row r="95" spans="2:12" s="88" customFormat="1" ht="13.8" x14ac:dyDescent="0.25">
      <c r="B95" s="49"/>
      <c r="C95" s="49"/>
      <c r="D95" s="49"/>
      <c r="E95" s="49"/>
      <c r="F95" s="49"/>
      <c r="G95" s="87"/>
      <c r="H95" s="87"/>
      <c r="I95" s="87"/>
      <c r="J95" s="49"/>
      <c r="K95" s="49"/>
      <c r="L95" s="49"/>
    </row>
    <row r="96" spans="2:12" s="88" customFormat="1" ht="13.8" x14ac:dyDescent="0.25">
      <c r="B96" s="49"/>
      <c r="C96" s="49"/>
      <c r="D96" s="49"/>
      <c r="E96" s="49"/>
      <c r="F96" s="49"/>
      <c r="G96" s="89"/>
      <c r="H96" s="89"/>
      <c r="I96" s="89"/>
      <c r="J96" s="49"/>
      <c r="K96" s="49"/>
      <c r="L96" s="49"/>
    </row>
  </sheetData>
  <sheetProtection sheet="1" objects="1" scenarios="1"/>
  <mergeCells count="21">
    <mergeCell ref="I65:J65"/>
    <mergeCell ref="I66:J66"/>
    <mergeCell ref="I67:J67"/>
    <mergeCell ref="K54:K62"/>
    <mergeCell ref="B55:E55"/>
    <mergeCell ref="I55:J55"/>
    <mergeCell ref="I61:J61"/>
    <mergeCell ref="I63:J63"/>
    <mergeCell ref="B64:E64"/>
    <mergeCell ref="K42:K53"/>
    <mergeCell ref="B2:G2"/>
    <mergeCell ref="L2:N2"/>
    <mergeCell ref="I4:J4"/>
    <mergeCell ref="I13:J13"/>
    <mergeCell ref="B19:J19"/>
    <mergeCell ref="G20:H20"/>
    <mergeCell ref="G21:H21"/>
    <mergeCell ref="G22:H22"/>
    <mergeCell ref="B39:J39"/>
    <mergeCell ref="G40:J40"/>
    <mergeCell ref="I41:J41"/>
  </mergeCells>
  <pageMargins left="0.70866141732283472" right="0.70866141732283472" top="0.78740157480314965" bottom="0.78740157480314965" header="0.31496062992125984" footer="0.31496062992125984"/>
  <pageSetup paperSize="9" scale="47" orientation="portrait" r:id="rId1"/>
  <headerFooter>
    <oddFooter>&amp;LLEL, Abt.2, J.Miez, K.Schabel&amp;C&amp;F&amp;R&amp;D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Info</vt:lpstr>
      <vt:lpstr>Ökorichlinien</vt:lpstr>
      <vt:lpstr>Hühnermast</vt:lpstr>
      <vt:lpstr>Grafiken</vt:lpstr>
      <vt:lpstr>Kostenstruktur-kurz</vt:lpstr>
      <vt:lpstr>Mobilstall</vt:lpstr>
      <vt:lpstr>Grafiken Mobilstall</vt:lpstr>
      <vt:lpstr>Mobilstall mit Bodenplatte</vt:lpstr>
      <vt:lpstr>Tabelle2</vt:lpstr>
      <vt:lpstr>Grafiken!Druckbereich</vt:lpstr>
      <vt:lpstr>Hühnermast!Druckbereich</vt:lpstr>
      <vt:lpstr>Info!Druckbereich</vt:lpstr>
      <vt:lpstr>Mobilstall!Druckbereich</vt:lpstr>
      <vt:lpstr>'Mobilstall mit Bodenplatte'!Druckbereich</vt:lpstr>
    </vt:vector>
  </TitlesOfParts>
  <Company>LEL Schwäbisch Gmünd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Öko-Mastgeflügel</dc:title>
  <dc:subject>Vollkosten in der Schweinehaltung</dc:subject>
  <dc:creator>Dr. Volker Segger;Joerg.Miez@lel.bwl.de</dc:creator>
  <cp:keywords>Wirtschaftlichkeit Öko-Mastgeflügel, Deckungsbeitrag Öko-Mastgeflügel, Vollkosten Öko-Mastgeflügel</cp:keywords>
  <cp:lastModifiedBy>Miez, Jörg (LEL)</cp:lastModifiedBy>
  <cp:lastPrinted>2019-01-15T10:37:58Z</cp:lastPrinted>
  <dcterms:created xsi:type="dcterms:W3CDTF">1998-09-25T13:08:28Z</dcterms:created>
  <dcterms:modified xsi:type="dcterms:W3CDTF">2019-01-15T10:45:26Z</dcterms:modified>
</cp:coreProperties>
</file>